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userName="Holland, David" algorithmName="SHA-512" hashValue="UCRErVDDQVQ6QqhI77l/2XreOAjDOy4bo+aC9uBsv0y27NNnZtnwCdcD6XsxQNQ/ZSxY4S8ZPt506S8FCKNPjg==" saltValue="5FH/anDcZNg2oH3UyAiDkA==" spinCount="100000"/>
  <workbookPr codeName="ThisWorkbook"/>
  <mc:AlternateContent xmlns:mc="http://schemas.openxmlformats.org/markup-compatibility/2006">
    <mc:Choice Requires="x15">
      <x15ac:absPath xmlns:x15ac="http://schemas.microsoft.com/office/spreadsheetml/2010/11/ac" url="http://spwshare/ensites/reg/licfin/RFPR 2122/01_Consol/02_Final/"/>
    </mc:Choice>
  </mc:AlternateContent>
  <xr:revisionPtr revIDLastSave="0" documentId="8_{555A3A16-E1A3-47BD-A17B-7B20D746B685}" xr6:coauthVersionLast="47" xr6:coauthVersionMax="47" xr10:uidLastSave="{00000000-0000-0000-0000-000000000000}"/>
  <bookViews>
    <workbookView xWindow="-28920" yWindow="-90" windowWidth="29040" windowHeight="1584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20" l="1"/>
  <c r="J21" i="20"/>
  <c r="I21" i="20"/>
  <c r="G21" i="20"/>
  <c r="F21" i="20"/>
  <c r="D21" i="20"/>
  <c r="K14" i="20"/>
  <c r="K16" i="20" s="1"/>
  <c r="I14" i="20"/>
  <c r="I16" i="20" s="1"/>
  <c r="E14" i="20"/>
  <c r="E16" i="20" s="1"/>
  <c r="A3" i="20"/>
  <c r="A2" i="20"/>
  <c r="H21" i="20"/>
  <c r="J14" i="20"/>
  <c r="J16" i="20" s="1"/>
  <c r="H14" i="20"/>
  <c r="H16" i="20" s="1"/>
  <c r="D36" i="19"/>
  <c r="D35" i="19"/>
  <c r="D19" i="19"/>
  <c r="A3" i="19"/>
  <c r="A2" i="19"/>
  <c r="H19" i="19"/>
  <c r="J19" i="19"/>
  <c r="K13" i="11"/>
  <c r="J13" i="11"/>
  <c r="I13" i="11"/>
  <c r="H13" i="11"/>
  <c r="G13" i="11"/>
  <c r="E13" i="11"/>
  <c r="D13" i="11"/>
  <c r="A3" i="11"/>
  <c r="A2" i="11"/>
  <c r="J68" i="29"/>
  <c r="I68" i="29"/>
  <c r="H68" i="29"/>
  <c r="E68" i="29"/>
  <c r="D68" i="29"/>
  <c r="K62" i="29"/>
  <c r="H62" i="29"/>
  <c r="F62" i="29"/>
  <c r="D62" i="29"/>
  <c r="K19" i="29"/>
  <c r="H19" i="29"/>
  <c r="G19" i="29"/>
  <c r="F19" i="29"/>
  <c r="E19" i="29"/>
  <c r="D19" i="29"/>
  <c r="A3" i="29"/>
  <c r="A2" i="29"/>
  <c r="K68" i="29"/>
  <c r="E62" i="29"/>
  <c r="K17" i="3"/>
  <c r="K18" i="4" s="1"/>
  <c r="I17" i="3"/>
  <c r="I18" i="4" s="1"/>
  <c r="G17" i="3"/>
  <c r="G18" i="4" s="1"/>
  <c r="F17" i="3"/>
  <c r="F18" i="4" s="1"/>
  <c r="K16" i="4"/>
  <c r="K12" i="3"/>
  <c r="K17" i="4" s="1"/>
  <c r="J12" i="3"/>
  <c r="J17" i="4" s="1"/>
  <c r="I12" i="3"/>
  <c r="I17" i="4" s="1"/>
  <c r="H12" i="3"/>
  <c r="H17" i="4" s="1"/>
  <c r="G12" i="3"/>
  <c r="G17" i="4" s="1"/>
  <c r="E12" i="3"/>
  <c r="E17" i="4" s="1"/>
  <c r="D12" i="3"/>
  <c r="D17" i="4" s="1"/>
  <c r="A3" i="3"/>
  <c r="A2" i="3"/>
  <c r="J17" i="3"/>
  <c r="J18" i="4" s="1"/>
  <c r="H17" i="3"/>
  <c r="H18" i="4" s="1"/>
  <c r="K102" i="5"/>
  <c r="K15" i="4" s="1"/>
  <c r="I102" i="5"/>
  <c r="I15" i="4" s="1"/>
  <c r="H102" i="5"/>
  <c r="H15" i="4" s="1"/>
  <c r="G102" i="5"/>
  <c r="G15" i="4" s="1"/>
  <c r="F102" i="5"/>
  <c r="F15" i="4" s="1"/>
  <c r="E102" i="5"/>
  <c r="E15" i="4" s="1"/>
  <c r="K73" i="5"/>
  <c r="J73" i="5"/>
  <c r="I73" i="5"/>
  <c r="H73" i="5"/>
  <c r="G73" i="5"/>
  <c r="F73" i="5"/>
  <c r="E73" i="5"/>
  <c r="D73" i="5"/>
  <c r="K69" i="5"/>
  <c r="J69" i="5"/>
  <c r="F69" i="5"/>
  <c r="J65" i="5"/>
  <c r="K57" i="5"/>
  <c r="H57" i="5"/>
  <c r="G57" i="5"/>
  <c r="F57" i="5"/>
  <c r="E57" i="5"/>
  <c r="D57" i="5"/>
  <c r="K53" i="5"/>
  <c r="G53" i="5"/>
  <c r="F53" i="5"/>
  <c r="D53" i="5"/>
  <c r="F49" i="5"/>
  <c r="L6" i="5"/>
  <c r="A3" i="5"/>
  <c r="A2" i="5"/>
  <c r="A100" i="5"/>
  <c r="A111" i="5" s="1"/>
  <c r="A97" i="5"/>
  <c r="A110" i="5" s="1"/>
  <c r="A94" i="5"/>
  <c r="A109" i="5" s="1"/>
  <c r="A91" i="5"/>
  <c r="A108" i="5" s="1"/>
  <c r="A88" i="5"/>
  <c r="A107" i="5" s="1"/>
  <c r="A85" i="5"/>
  <c r="A106" i="5" s="1"/>
  <c r="A82" i="5"/>
  <c r="A105" i="5" s="1"/>
  <c r="A69" i="5"/>
  <c r="A65" i="5"/>
  <c r="A61" i="5"/>
  <c r="A57" i="5"/>
  <c r="A53" i="5"/>
  <c r="A49" i="5"/>
  <c r="A45" i="5"/>
  <c r="A44" i="5"/>
  <c r="A43" i="5"/>
  <c r="A42" i="5"/>
  <c r="A41" i="5"/>
  <c r="A40" i="5"/>
  <c r="A39" i="5"/>
  <c r="A25" i="5"/>
  <c r="A24" i="5"/>
  <c r="A23" i="5"/>
  <c r="A22" i="5"/>
  <c r="A21" i="5"/>
  <c r="K64" i="4"/>
  <c r="J64" i="4"/>
  <c r="I64" i="4"/>
  <c r="H64" i="4"/>
  <c r="E64" i="4"/>
  <c r="K45" i="4"/>
  <c r="I45" i="4"/>
  <c r="H45" i="4"/>
  <c r="A3" i="4"/>
  <c r="A2" i="4"/>
  <c r="K122" i="2"/>
  <c r="J122" i="2"/>
  <c r="I122" i="2"/>
  <c r="H122" i="2"/>
  <c r="G122" i="2"/>
  <c r="F122" i="2"/>
  <c r="E122" i="2"/>
  <c r="D122" i="2"/>
  <c r="K94" i="2"/>
  <c r="J94" i="2"/>
  <c r="I94" i="2"/>
  <c r="H94" i="2"/>
  <c r="G94" i="2"/>
  <c r="F94" i="2"/>
  <c r="E94" i="2"/>
  <c r="D94" i="2"/>
  <c r="B86" i="2"/>
  <c r="K78" i="2"/>
  <c r="J78" i="2"/>
  <c r="I78" i="2"/>
  <c r="H78" i="2"/>
  <c r="G78" i="2"/>
  <c r="F78" i="2"/>
  <c r="E78" i="2"/>
  <c r="D78" i="2"/>
  <c r="K44" i="2"/>
  <c r="J44" i="2"/>
  <c r="I44" i="2"/>
  <c r="H44" i="2"/>
  <c r="G44" i="2"/>
  <c r="F44" i="2"/>
  <c r="E44" i="2"/>
  <c r="D44" i="2"/>
  <c r="K16" i="2"/>
  <c r="J16" i="2"/>
  <c r="I16" i="2"/>
  <c r="H16" i="2"/>
  <c r="G16" i="2"/>
  <c r="F16" i="2"/>
  <c r="E16" i="2"/>
  <c r="D16" i="2"/>
  <c r="L6" i="2"/>
  <c r="A3" i="2"/>
  <c r="A2" i="2"/>
  <c r="B133" i="2"/>
  <c r="B132" i="2"/>
  <c r="B131" i="2"/>
  <c r="B130" i="2"/>
  <c r="B129" i="2"/>
  <c r="B128" i="2"/>
  <c r="K56" i="2"/>
  <c r="J56" i="2"/>
  <c r="J59" i="2" s="1"/>
  <c r="I56" i="2"/>
  <c r="I58" i="2" s="1"/>
  <c r="H56" i="2"/>
  <c r="G56" i="2"/>
  <c r="G58" i="2" s="1"/>
  <c r="F56" i="2"/>
  <c r="E56" i="2"/>
  <c r="D56" i="2"/>
  <c r="D59" i="2" s="1"/>
  <c r="M55" i="2"/>
  <c r="M54" i="2"/>
  <c r="M53" i="2"/>
  <c r="M52" i="2"/>
  <c r="M51" i="2"/>
  <c r="M50" i="2"/>
  <c r="E46" i="2"/>
  <c r="D46" i="2"/>
  <c r="F59" i="2"/>
  <c r="K42" i="2"/>
  <c r="J42" i="2"/>
  <c r="J46" i="2" s="1"/>
  <c r="I42" i="2"/>
  <c r="I46" i="2" s="1"/>
  <c r="H42" i="2"/>
  <c r="G42" i="2"/>
  <c r="G47" i="2" s="1"/>
  <c r="F42" i="2"/>
  <c r="E42" i="2"/>
  <c r="D42" i="2"/>
  <c r="D47" i="2" s="1"/>
  <c r="M41" i="2"/>
  <c r="M40" i="2"/>
  <c r="A3" i="15"/>
  <c r="A2" i="15"/>
  <c r="K78" i="15"/>
  <c r="K46" i="15"/>
  <c r="K18" i="15"/>
  <c r="K23" i="15" s="1"/>
  <c r="I62" i="2" l="1"/>
  <c r="I47" i="2"/>
  <c r="M56" i="2"/>
  <c r="J58" i="2"/>
  <c r="J62" i="2" s="1"/>
  <c r="J47" i="2"/>
  <c r="J63" i="2" s="1"/>
  <c r="J64" i="2" s="1"/>
  <c r="M42" i="2"/>
  <c r="G59" i="2"/>
  <c r="G63" i="2" s="1"/>
  <c r="K48" i="15"/>
  <c r="K80" i="15" s="1"/>
  <c r="D17" i="3"/>
  <c r="D18" i="4" s="1"/>
  <c r="G14" i="20"/>
  <c r="G16" i="20" s="1"/>
  <c r="F14" i="20"/>
  <c r="J102" i="5"/>
  <c r="J15" i="4" s="1"/>
  <c r="K19" i="19"/>
  <c r="J19" i="29"/>
  <c r="F13" i="11"/>
  <c r="E21" i="20"/>
  <c r="D14" i="20"/>
  <c r="D16" i="20" s="1"/>
  <c r="I19" i="19"/>
  <c r="I62" i="29"/>
  <c r="I70" i="29" s="1"/>
  <c r="I74" i="29" s="1"/>
  <c r="F68" i="29"/>
  <c r="F70" i="29" s="1"/>
  <c r="F74" i="29" s="1"/>
  <c r="G62" i="29"/>
  <c r="J18" i="15"/>
  <c r="J23" i="15" s="1"/>
  <c r="E45" i="4"/>
  <c r="E66" i="4" s="1"/>
  <c r="E68" i="4" s="1"/>
  <c r="I65" i="5"/>
  <c r="F12" i="3"/>
  <c r="F17" i="4" s="1"/>
  <c r="E17" i="3"/>
  <c r="E18" i="4" s="1"/>
  <c r="G64" i="4"/>
  <c r="G45" i="4"/>
  <c r="D102" i="5"/>
  <c r="D15" i="4" s="1"/>
  <c r="D45" i="4"/>
  <c r="J45" i="4"/>
  <c r="J66" i="4" s="1"/>
  <c r="J68" i="4" s="1"/>
  <c r="G19" i="19"/>
  <c r="J78" i="15"/>
  <c r="F16" i="20"/>
  <c r="E19" i="19"/>
  <c r="F19" i="19"/>
  <c r="I69" i="5"/>
  <c r="F45" i="4"/>
  <c r="D64" i="4"/>
  <c r="J57" i="5"/>
  <c r="M14" i="5"/>
  <c r="H66" i="4"/>
  <c r="H68" i="4" s="1"/>
  <c r="G18" i="5"/>
  <c r="I66" i="4"/>
  <c r="I68" i="4" s="1"/>
  <c r="J62" i="29"/>
  <c r="J70" i="29" s="1"/>
  <c r="J74" i="29" s="1"/>
  <c r="G68" i="29"/>
  <c r="I19" i="29"/>
  <c r="J46" i="15"/>
  <c r="D18" i="5"/>
  <c r="M16" i="5"/>
  <c r="E18" i="5"/>
  <c r="K66" i="4"/>
  <c r="K68" i="4" s="1"/>
  <c r="H61" i="5"/>
  <c r="M15" i="5"/>
  <c r="E49" i="5"/>
  <c r="H18" i="5"/>
  <c r="D14" i="4"/>
  <c r="K18" i="5"/>
  <c r="I18" i="5"/>
  <c r="D70" i="29"/>
  <c r="D74" i="29" s="1"/>
  <c r="H70" i="29"/>
  <c r="H74" i="29" s="1"/>
  <c r="K70" i="29"/>
  <c r="K74" i="29" s="1"/>
  <c r="E70" i="29"/>
  <c r="E74" i="29" s="1"/>
  <c r="I53" i="5"/>
  <c r="F18" i="5"/>
  <c r="M73" i="5"/>
  <c r="G49" i="5"/>
  <c r="H53" i="5"/>
  <c r="I57" i="5"/>
  <c r="J61" i="5"/>
  <c r="K65" i="5"/>
  <c r="D69" i="5"/>
  <c r="H49" i="5"/>
  <c r="K61" i="5"/>
  <c r="D65" i="5"/>
  <c r="E69" i="5"/>
  <c r="D61" i="5"/>
  <c r="E65" i="5"/>
  <c r="I49" i="5"/>
  <c r="M11" i="5"/>
  <c r="M13" i="5"/>
  <c r="M17" i="5"/>
  <c r="J49" i="5"/>
  <c r="E61" i="5"/>
  <c r="F65" i="5"/>
  <c r="G69" i="5"/>
  <c r="K49" i="5"/>
  <c r="F61" i="5"/>
  <c r="G65" i="5"/>
  <c r="H69" i="5"/>
  <c r="I61" i="5"/>
  <c r="D49" i="5"/>
  <c r="E53" i="5"/>
  <c r="G61" i="5"/>
  <c r="H65" i="5"/>
  <c r="E14" i="4"/>
  <c r="G14" i="4"/>
  <c r="H14" i="4"/>
  <c r="I14" i="4"/>
  <c r="F14" i="4"/>
  <c r="F64" i="4"/>
  <c r="J14" i="4"/>
  <c r="K14" i="4"/>
  <c r="K46" i="2"/>
  <c r="F58" i="2"/>
  <c r="E47" i="2"/>
  <c r="H58" i="2"/>
  <c r="D63" i="2"/>
  <c r="K59" i="2"/>
  <c r="E59" i="2"/>
  <c r="E63" i="2" s="1"/>
  <c r="E58" i="2"/>
  <c r="E62" i="2" s="1"/>
  <c r="K28" i="2"/>
  <c r="F47" i="2"/>
  <c r="F63" i="2" s="1"/>
  <c r="H47" i="2"/>
  <c r="H46" i="2"/>
  <c r="H62" i="2" s="1"/>
  <c r="J28" i="2"/>
  <c r="F46" i="2"/>
  <c r="K47" i="2"/>
  <c r="K58" i="2"/>
  <c r="H59" i="2"/>
  <c r="G46" i="2"/>
  <c r="G62" i="2" s="1"/>
  <c r="D58" i="2"/>
  <c r="I59" i="2"/>
  <c r="I63" i="2" s="1"/>
  <c r="I64" i="2" s="1"/>
  <c r="G64" i="2" l="1"/>
  <c r="K62" i="2"/>
  <c r="K64" i="2" s="1"/>
  <c r="K63" i="2"/>
  <c r="F62" i="2"/>
  <c r="F64" i="2" s="1"/>
  <c r="G66" i="4"/>
  <c r="G68" i="4" s="1"/>
  <c r="J48" i="15"/>
  <c r="G70" i="29"/>
  <c r="G74" i="29" s="1"/>
  <c r="J80" i="15"/>
  <c r="D66" i="4"/>
  <c r="D68" i="4" s="1"/>
  <c r="F66" i="4"/>
  <c r="F68" i="4" s="1"/>
  <c r="M57" i="5"/>
  <c r="E64" i="2"/>
  <c r="M61" i="5"/>
  <c r="M49" i="5"/>
  <c r="M65" i="5"/>
  <c r="M69" i="5"/>
  <c r="M59" i="2"/>
  <c r="M47" i="2"/>
  <c r="M58" i="2"/>
  <c r="D62" i="2"/>
  <c r="M46" i="2"/>
  <c r="K30" i="2"/>
  <c r="K31" i="2"/>
  <c r="J31" i="2"/>
  <c r="J30" i="2"/>
  <c r="H63" i="2"/>
  <c r="M63" i="2" s="1"/>
  <c r="D64" i="2" l="1"/>
  <c r="M62" i="2"/>
  <c r="H64" i="2"/>
  <c r="M64" i="2" l="1"/>
  <c r="L6" i="17" l="1"/>
  <c r="A3" i="17"/>
  <c r="A2" i="17"/>
  <c r="M47" i="17"/>
  <c r="K52" i="27"/>
  <c r="J52" i="27"/>
  <c r="I52" i="27"/>
  <c r="G52" i="27"/>
  <c r="F52" i="27"/>
  <c r="E52" i="27"/>
  <c r="D52" i="27"/>
  <c r="A3" i="27"/>
  <c r="A2" i="27"/>
  <c r="H52" i="27"/>
  <c r="K55" i="17" l="1"/>
  <c r="J55" i="17" l="1"/>
  <c r="B21" i="1" l="1"/>
  <c r="B3" i="1" l="1"/>
  <c r="B3" i="3" l="1"/>
  <c r="B3" i="11"/>
  <c r="B3" i="27"/>
  <c r="B3" i="17"/>
  <c r="K28" i="10" l="1"/>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B42" i="1"/>
  <c r="B39" i="1"/>
  <c r="B38" i="1"/>
  <c r="B37" i="1"/>
  <c r="B31" i="1"/>
  <c r="B30" i="1"/>
  <c r="B23" i="1"/>
  <c r="B22" i="1"/>
  <c r="B20" i="1"/>
  <c r="B19" i="1"/>
  <c r="B18" i="1"/>
  <c r="B12" i="1"/>
  <c r="B11" i="1"/>
  <c r="M6" i="1"/>
  <c r="A3" i="1"/>
  <c r="A2" i="1"/>
  <c r="A3" i="14"/>
  <c r="A2" i="14"/>
  <c r="A3" i="21"/>
  <c r="A2" i="21"/>
  <c r="E202" i="28"/>
  <c r="B202" i="28"/>
  <c r="E192" i="28"/>
  <c r="F157" i="28" s="1"/>
  <c r="B192" i="28"/>
  <c r="E182" i="28"/>
  <c r="F155" i="28" s="1"/>
  <c r="B182" i="28"/>
  <c r="F159" i="28"/>
  <c r="F158" i="28"/>
  <c r="F156" i="28"/>
  <c r="F154" i="28"/>
  <c r="F153" i="28"/>
  <c r="F152" i="28"/>
  <c r="E118" i="28"/>
  <c r="F118" i="28" s="1"/>
  <c r="G118" i="28" s="1"/>
  <c r="H118" i="28" s="1"/>
  <c r="I118" i="28" s="1"/>
  <c r="J118" i="28" s="1"/>
  <c r="K118" i="28" s="1"/>
  <c r="L118" i="28" s="1"/>
  <c r="D118" i="28"/>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C12" i="13"/>
  <c r="C11" i="13"/>
  <c r="C10" i="13"/>
  <c r="C6" i="13"/>
  <c r="A3" i="13"/>
  <c r="A2" i="13"/>
  <c r="F27" i="28" l="1"/>
  <c r="E27" i="28"/>
  <c r="D6" i="29"/>
  <c r="D6" i="20"/>
  <c r="D6" i="11"/>
  <c r="D6" i="5"/>
  <c r="D6" i="4"/>
  <c r="D6" i="15"/>
  <c r="D6" i="19"/>
  <c r="D6" i="2"/>
  <c r="D6" i="3"/>
  <c r="D6" i="17"/>
  <c r="D6" i="27"/>
  <c r="E156" i="28"/>
  <c r="C8" i="20"/>
  <c r="C79" i="29"/>
  <c r="C62" i="29"/>
  <c r="C53" i="5"/>
  <c r="C41" i="5"/>
  <c r="C15" i="5"/>
  <c r="C11" i="5"/>
  <c r="C12" i="4"/>
  <c r="C64" i="2"/>
  <c r="C53" i="2"/>
  <c r="C40" i="2"/>
  <c r="C27" i="2"/>
  <c r="C14" i="2"/>
  <c r="C74" i="29"/>
  <c r="C61" i="29"/>
  <c r="C73" i="5"/>
  <c r="C40" i="5"/>
  <c r="C11" i="4"/>
  <c r="C63" i="2"/>
  <c r="C52" i="2"/>
  <c r="C26" i="2"/>
  <c r="C13" i="2"/>
  <c r="C73" i="29"/>
  <c r="C60" i="29"/>
  <c r="C69" i="5"/>
  <c r="C49" i="5"/>
  <c r="C39" i="5"/>
  <c r="C14" i="5"/>
  <c r="C10" i="4"/>
  <c r="C62" i="2"/>
  <c r="C51" i="2"/>
  <c r="C36" i="2"/>
  <c r="C25" i="2"/>
  <c r="C12" i="2"/>
  <c r="C89" i="29"/>
  <c r="C72" i="29"/>
  <c r="C53" i="29"/>
  <c r="C65" i="5"/>
  <c r="C46" i="5"/>
  <c r="C18" i="5"/>
  <c r="C79" i="2"/>
  <c r="C59" i="2"/>
  <c r="C50" i="2"/>
  <c r="C35" i="2"/>
  <c r="C24" i="2"/>
  <c r="C19" i="19"/>
  <c r="C88" i="29"/>
  <c r="C71" i="29"/>
  <c r="C41" i="29"/>
  <c r="C45" i="5"/>
  <c r="C17" i="5"/>
  <c r="C13" i="5"/>
  <c r="C77" i="2"/>
  <c r="C58" i="2"/>
  <c r="C47" i="2"/>
  <c r="C34" i="2"/>
  <c r="C23" i="2"/>
  <c r="C18" i="19"/>
  <c r="C86" i="29"/>
  <c r="C68" i="29"/>
  <c r="C28" i="3"/>
  <c r="C61" i="5"/>
  <c r="C44" i="5"/>
  <c r="C71" i="2"/>
  <c r="C56" i="2"/>
  <c r="C46" i="2"/>
  <c r="C31" i="2"/>
  <c r="C22" i="2"/>
  <c r="C17" i="19"/>
  <c r="C83" i="29"/>
  <c r="C67" i="29"/>
  <c r="C57" i="5"/>
  <c r="C43" i="5"/>
  <c r="C16" i="5"/>
  <c r="C12" i="5"/>
  <c r="C70" i="2"/>
  <c r="C55" i="2"/>
  <c r="C42" i="2"/>
  <c r="C30" i="2"/>
  <c r="C19" i="2"/>
  <c r="C14" i="19"/>
  <c r="C81" i="29"/>
  <c r="C66" i="29"/>
  <c r="C42" i="5"/>
  <c r="C69" i="2"/>
  <c r="C54" i="2"/>
  <c r="C41" i="2"/>
  <c r="C28" i="2"/>
  <c r="C18" i="2"/>
  <c r="C90" i="17"/>
  <c r="C88" i="17"/>
  <c r="C86" i="17"/>
  <c r="C63" i="27"/>
  <c r="C80" i="17"/>
  <c r="C62" i="27"/>
  <c r="C79" i="17"/>
  <c r="C61" i="27"/>
  <c r="C70" i="17"/>
  <c r="C69" i="17"/>
  <c r="C56" i="17"/>
  <c r="C43" i="17"/>
  <c r="G46" i="29"/>
  <c r="F46" i="29"/>
  <c r="E46" i="29"/>
  <c r="D46" i="29"/>
  <c r="K46" i="29"/>
  <c r="J46" i="29"/>
  <c r="I46" i="29"/>
  <c r="H46" i="29"/>
  <c r="J62" i="17"/>
  <c r="E65" i="27"/>
  <c r="H58" i="27"/>
  <c r="I62" i="17"/>
  <c r="D65" i="27"/>
  <c r="G58" i="27"/>
  <c r="H62" i="17"/>
  <c r="K65" i="27"/>
  <c r="F58" i="27"/>
  <c r="G62" i="17"/>
  <c r="J65" i="27"/>
  <c r="E58" i="27"/>
  <c r="F62" i="17"/>
  <c r="I65" i="27"/>
  <c r="D58" i="27"/>
  <c r="E62" i="17"/>
  <c r="H65" i="27"/>
  <c r="K58" i="27"/>
  <c r="D62" i="17"/>
  <c r="G65" i="27"/>
  <c r="J58" i="27"/>
  <c r="K62" i="17"/>
  <c r="F65" i="27"/>
  <c r="I58" i="27"/>
  <c r="D29" i="10"/>
  <c r="E16" i="10" s="1"/>
  <c r="E18" i="10" s="1"/>
  <c r="E29" i="10" s="1"/>
  <c r="F16" i="10" s="1"/>
  <c r="F18" i="10" s="1"/>
  <c r="F29" i="10" s="1"/>
  <c r="G16" i="10" s="1"/>
  <c r="G18" i="10" s="1"/>
  <c r="G29" i="10" s="1"/>
  <c r="H16" i="10" s="1"/>
  <c r="H18" i="10" s="1"/>
  <c r="H29" i="10" s="1"/>
  <c r="E154" i="28"/>
  <c r="E159" i="28"/>
  <c r="C51" i="1"/>
  <c r="C55" i="1"/>
  <c r="C61" i="1"/>
  <c r="J42" i="10"/>
  <c r="F42" i="10"/>
  <c r="I42" i="10"/>
  <c r="E42" i="10"/>
  <c r="H42" i="10"/>
  <c r="D42" i="10"/>
  <c r="K42" i="10"/>
  <c r="G42" i="10"/>
  <c r="C33" i="28"/>
  <c r="C50" i="1"/>
  <c r="C54" i="1"/>
  <c r="C66" i="1"/>
  <c r="E157" i="28"/>
  <c r="E153" i="28"/>
  <c r="D6" i="10"/>
  <c r="D5" i="10" s="1"/>
  <c r="D6" i="1"/>
  <c r="B48" i="28"/>
  <c r="B10" i="2" s="1"/>
  <c r="B88" i="2" s="1"/>
  <c r="B149" i="28"/>
  <c r="E158" i="28"/>
  <c r="C48" i="1"/>
  <c r="C53" i="1"/>
  <c r="J41" i="10"/>
  <c r="F41" i="10"/>
  <c r="I41" i="10"/>
  <c r="E41" i="10"/>
  <c r="H41" i="10"/>
  <c r="D41" i="10"/>
  <c r="G41" i="10"/>
  <c r="K41" i="10"/>
  <c r="C47" i="10"/>
  <c r="C29" i="10"/>
  <c r="C25" i="10"/>
  <c r="C21" i="10"/>
  <c r="C17" i="10"/>
  <c r="C16" i="10"/>
  <c r="C51" i="10"/>
  <c r="C46" i="10"/>
  <c r="C28" i="10"/>
  <c r="C24" i="10"/>
  <c r="C20" i="10"/>
  <c r="C11" i="10"/>
  <c r="C50" i="10"/>
  <c r="C45" i="10"/>
  <c r="C27" i="10"/>
  <c r="C23" i="10"/>
  <c r="C19" i="10"/>
  <c r="C49" i="10"/>
  <c r="C26" i="10"/>
  <c r="C22" i="10"/>
  <c r="C18" i="10"/>
  <c r="C31" i="10"/>
  <c r="C65" i="1"/>
  <c r="C60" i="1"/>
  <c r="C56" i="1"/>
  <c r="B46" i="1"/>
  <c r="C63" i="1"/>
  <c r="C59" i="1"/>
  <c r="C62" i="1"/>
  <c r="C58" i="1"/>
  <c r="C49" i="1"/>
  <c r="B51" i="28"/>
  <c r="B38" i="2" s="1"/>
  <c r="B116" i="2" s="1"/>
  <c r="E152" i="28"/>
  <c r="E155" i="28"/>
  <c r="C52" i="1"/>
  <c r="C57" i="1"/>
  <c r="I16" i="10" l="1"/>
  <c r="I18" i="10" s="1"/>
  <c r="I29" i="10" s="1"/>
  <c r="H32" i="10"/>
  <c r="E6" i="20"/>
  <c r="D5" i="20"/>
  <c r="E6" i="2"/>
  <c r="D5" i="2"/>
  <c r="D77" i="2"/>
  <c r="E6" i="19"/>
  <c r="D5" i="19"/>
  <c r="D5" i="15"/>
  <c r="E6" i="15"/>
  <c r="D5" i="27"/>
  <c r="E6" i="27"/>
  <c r="E6" i="4"/>
  <c r="D5" i="4"/>
  <c r="D74" i="5"/>
  <c r="D75" i="5" s="1"/>
  <c r="D50" i="5"/>
  <c r="D51" i="5" s="1"/>
  <c r="D62" i="5"/>
  <c r="D63" i="5" s="1"/>
  <c r="D5" i="5"/>
  <c r="D99" i="5"/>
  <c r="D54" i="5"/>
  <c r="D55" i="5" s="1"/>
  <c r="D58" i="5"/>
  <c r="D59" i="5" s="1"/>
  <c r="D93" i="5"/>
  <c r="D96" i="5"/>
  <c r="D87" i="5"/>
  <c r="D70" i="5"/>
  <c r="D71" i="5" s="1"/>
  <c r="D66" i="5"/>
  <c r="D67" i="5" s="1"/>
  <c r="E6" i="5"/>
  <c r="D90" i="5"/>
  <c r="D81" i="5"/>
  <c r="D84" i="5"/>
  <c r="D5" i="17"/>
  <c r="E6" i="17"/>
  <c r="E6" i="11"/>
  <c r="D5" i="11"/>
  <c r="D5" i="3"/>
  <c r="E6" i="3"/>
  <c r="D5" i="29"/>
  <c r="E6" i="29"/>
  <c r="D22" i="29"/>
  <c r="B153" i="28"/>
  <c r="B11" i="5" s="1"/>
  <c r="D5" i="1"/>
  <c r="E6" i="1"/>
  <c r="E6" i="10"/>
  <c r="E5" i="10" s="1"/>
  <c r="D40" i="10"/>
  <c r="D43" i="10" s="1"/>
  <c r="D47" i="10" s="1"/>
  <c r="D32" i="10"/>
  <c r="D36" i="10"/>
  <c r="B159" i="28"/>
  <c r="B17" i="5" s="1"/>
  <c r="B160" i="28"/>
  <c r="B156" i="28"/>
  <c r="B14" i="5" s="1"/>
  <c r="B157" i="28"/>
  <c r="B15" i="5" s="1"/>
  <c r="B154" i="28"/>
  <c r="B12" i="5" s="1"/>
  <c r="B155" i="28"/>
  <c r="B13" i="5" s="1"/>
  <c r="B158" i="28"/>
  <c r="B16" i="5" s="1"/>
  <c r="D33" i="28"/>
  <c r="C36" i="28"/>
  <c r="C35" i="28"/>
  <c r="D34" i="10" s="1"/>
  <c r="D38" i="10" s="1"/>
  <c r="C34" i="28"/>
  <c r="C32" i="28"/>
  <c r="J16" i="10" l="1"/>
  <c r="J18" i="10" s="1"/>
  <c r="J29" i="10" s="1"/>
  <c r="K16" i="10" s="1"/>
  <c r="K18" i="10" s="1"/>
  <c r="K29" i="10" s="1"/>
  <c r="D63" i="27"/>
  <c r="D43" i="5"/>
  <c r="E5" i="27"/>
  <c r="F6" i="27"/>
  <c r="E5" i="17"/>
  <c r="F6" i="17"/>
  <c r="D44" i="5"/>
  <c r="B42" i="5"/>
  <c r="B61" i="5"/>
  <c r="B91" i="5"/>
  <c r="D39" i="5"/>
  <c r="E5" i="15"/>
  <c r="F6" i="15"/>
  <c r="E5" i="3"/>
  <c r="F6" i="3"/>
  <c r="D45" i="5"/>
  <c r="D79" i="2"/>
  <c r="D50" i="1" s="1"/>
  <c r="D42" i="5"/>
  <c r="B73" i="5"/>
  <c r="B100" i="5"/>
  <c r="B45" i="5"/>
  <c r="B40" i="5"/>
  <c r="B85" i="5"/>
  <c r="B53" i="5"/>
  <c r="B65" i="5"/>
  <c r="B94" i="5"/>
  <c r="B43" i="5"/>
  <c r="E5" i="29"/>
  <c r="F6" i="29"/>
  <c r="E22" i="29"/>
  <c r="B39" i="5"/>
  <c r="B82" i="5"/>
  <c r="B49" i="5"/>
  <c r="D41" i="5"/>
  <c r="F6" i="19"/>
  <c r="E5" i="19"/>
  <c r="E5" i="2"/>
  <c r="F6" i="2"/>
  <c r="E77" i="2"/>
  <c r="E79" i="2" s="1"/>
  <c r="D40" i="5"/>
  <c r="B69" i="5"/>
  <c r="B44" i="5"/>
  <c r="B97" i="5"/>
  <c r="E5" i="11"/>
  <c r="F6" i="11"/>
  <c r="B57" i="5"/>
  <c r="B88" i="5"/>
  <c r="B41" i="5"/>
  <c r="E58" i="5"/>
  <c r="E59" i="5" s="1"/>
  <c r="E41" i="5" s="1"/>
  <c r="E53" i="1" s="1"/>
  <c r="E99" i="5"/>
  <c r="E66" i="5"/>
  <c r="E67" i="5" s="1"/>
  <c r="E43" i="5" s="1"/>
  <c r="E55" i="1" s="1"/>
  <c r="E87" i="5"/>
  <c r="E54" i="5"/>
  <c r="E55" i="5" s="1"/>
  <c r="E40" i="5" s="1"/>
  <c r="E52" i="1" s="1"/>
  <c r="E96" i="5"/>
  <c r="E74" i="5"/>
  <c r="E75" i="5" s="1"/>
  <c r="E45" i="5" s="1"/>
  <c r="E84" i="5"/>
  <c r="E62" i="5"/>
  <c r="E63" i="5" s="1"/>
  <c r="E42" i="5" s="1"/>
  <c r="E54" i="1" s="1"/>
  <c r="E93" i="5"/>
  <c r="E50" i="5"/>
  <c r="E51" i="5" s="1"/>
  <c r="E39" i="5" s="1"/>
  <c r="E81" i="5"/>
  <c r="E70" i="5"/>
  <c r="E71" i="5" s="1"/>
  <c r="E44" i="5" s="1"/>
  <c r="E90" i="5"/>
  <c r="E5" i="5"/>
  <c r="F6" i="5"/>
  <c r="E5" i="4"/>
  <c r="F6" i="4"/>
  <c r="F6" i="20"/>
  <c r="E5" i="20"/>
  <c r="D39" i="29"/>
  <c r="D86" i="2"/>
  <c r="D8" i="20"/>
  <c r="D57" i="1" s="1"/>
  <c r="D14" i="19"/>
  <c r="D28" i="3"/>
  <c r="D56" i="1" s="1"/>
  <c r="D41" i="17"/>
  <c r="D56" i="27"/>
  <c r="D45" i="10"/>
  <c r="D49" i="10" s="1"/>
  <c r="D46" i="10"/>
  <c r="D65" i="1" s="1"/>
  <c r="B51" i="1"/>
  <c r="B55" i="1"/>
  <c r="E33" i="28"/>
  <c r="D36" i="28"/>
  <c r="D35" i="28"/>
  <c r="E34" i="10" s="1"/>
  <c r="E38" i="10" s="1"/>
  <c r="D34" i="28"/>
  <c r="D32" i="28"/>
  <c r="B54" i="1"/>
  <c r="D35" i="10"/>
  <c r="B53" i="1"/>
  <c r="E40" i="10"/>
  <c r="E43" i="10" s="1"/>
  <c r="E47" i="10" s="1"/>
  <c r="E32" i="10"/>
  <c r="F6" i="10"/>
  <c r="F5" i="10" s="1"/>
  <c r="F6" i="1"/>
  <c r="E5" i="1"/>
  <c r="B52" i="1"/>
  <c r="E63" i="27" l="1"/>
  <c r="D80" i="17"/>
  <c r="E56" i="27"/>
  <c r="E46" i="5"/>
  <c r="G6" i="19"/>
  <c r="F5" i="19"/>
  <c r="F5" i="15"/>
  <c r="G6" i="15"/>
  <c r="F22" i="29"/>
  <c r="F5" i="29"/>
  <c r="G6" i="29"/>
  <c r="F5" i="17"/>
  <c r="G6" i="17"/>
  <c r="F5" i="20"/>
  <c r="G6" i="20"/>
  <c r="F5" i="4"/>
  <c r="G6" i="4"/>
  <c r="F5" i="11"/>
  <c r="G6" i="11"/>
  <c r="D46" i="5"/>
  <c r="G6" i="27"/>
  <c r="F5" i="27"/>
  <c r="F62" i="5"/>
  <c r="F63" i="5" s="1"/>
  <c r="F42" i="5" s="1"/>
  <c r="F54" i="1" s="1"/>
  <c r="F90" i="5"/>
  <c r="F54" i="5"/>
  <c r="F55" i="5" s="1"/>
  <c r="F40" i="5" s="1"/>
  <c r="F52" i="1" s="1"/>
  <c r="F99" i="5"/>
  <c r="F74" i="5"/>
  <c r="F75" i="5" s="1"/>
  <c r="F45" i="5" s="1"/>
  <c r="F87" i="5"/>
  <c r="F50" i="5"/>
  <c r="F51" i="5" s="1"/>
  <c r="F39" i="5" s="1"/>
  <c r="F96" i="5"/>
  <c r="F70" i="5"/>
  <c r="F71" i="5" s="1"/>
  <c r="F44" i="5" s="1"/>
  <c r="F84" i="5"/>
  <c r="F5" i="5"/>
  <c r="F93" i="5"/>
  <c r="F58" i="5"/>
  <c r="F59" i="5" s="1"/>
  <c r="F41" i="5" s="1"/>
  <c r="F53" i="1" s="1"/>
  <c r="F81" i="5"/>
  <c r="F66" i="5"/>
  <c r="F67" i="5" s="1"/>
  <c r="F43" i="5" s="1"/>
  <c r="F55" i="1" s="1"/>
  <c r="G6" i="5"/>
  <c r="F5" i="2"/>
  <c r="G6" i="2"/>
  <c r="F77" i="2"/>
  <c r="F79" i="2" s="1"/>
  <c r="F5" i="3"/>
  <c r="G6" i="3"/>
  <c r="E39" i="29"/>
  <c r="E86" i="2"/>
  <c r="E28" i="3"/>
  <c r="E56" i="1" s="1"/>
  <c r="E14" i="19"/>
  <c r="E8" i="20"/>
  <c r="E57" i="1" s="1"/>
  <c r="E41" i="17"/>
  <c r="D128" i="2"/>
  <c r="D133" i="2"/>
  <c r="D119" i="2"/>
  <c r="D130" i="2"/>
  <c r="D118" i="2"/>
  <c r="D131" i="2"/>
  <c r="D132" i="2"/>
  <c r="D129" i="2"/>
  <c r="D23" i="29"/>
  <c r="D53" i="10"/>
  <c r="D50" i="10"/>
  <c r="D51" i="10" s="1"/>
  <c r="D54" i="10"/>
  <c r="B33" i="1"/>
  <c r="B14" i="1"/>
  <c r="D51" i="1"/>
  <c r="D13" i="1" s="1"/>
  <c r="E35" i="10"/>
  <c r="B36" i="1"/>
  <c r="B17" i="1"/>
  <c r="D53" i="1"/>
  <c r="D15" i="1" s="1"/>
  <c r="E45" i="10"/>
  <c r="E49" i="10" s="1"/>
  <c r="E46" i="10"/>
  <c r="D55" i="1"/>
  <c r="D17" i="1" s="1"/>
  <c r="D52" i="1"/>
  <c r="D14" i="1" s="1"/>
  <c r="B35" i="1"/>
  <c r="B16" i="1"/>
  <c r="G6" i="1"/>
  <c r="F5" i="1"/>
  <c r="B34" i="1"/>
  <c r="B15" i="1"/>
  <c r="G6" i="10"/>
  <c r="G5" i="10" s="1"/>
  <c r="F32" i="10"/>
  <c r="F40" i="10"/>
  <c r="F43" i="10" s="1"/>
  <c r="F47" i="10" s="1"/>
  <c r="E51" i="1"/>
  <c r="E36" i="28"/>
  <c r="E35" i="28"/>
  <c r="F34" i="10" s="1"/>
  <c r="F38" i="10" s="1"/>
  <c r="E34" i="28"/>
  <c r="E32" i="28"/>
  <c r="F33" i="28"/>
  <c r="B32" i="1"/>
  <c r="B13" i="1"/>
  <c r="D54" i="1"/>
  <c r="D16" i="1" s="1"/>
  <c r="D12" i="1"/>
  <c r="D18" i="1"/>
  <c r="D19" i="1"/>
  <c r="D57" i="10"/>
  <c r="F56" i="27" l="1"/>
  <c r="E80" i="17"/>
  <c r="F63" i="27"/>
  <c r="F46" i="5"/>
  <c r="H6" i="27"/>
  <c r="G5" i="27"/>
  <c r="G5" i="4"/>
  <c r="H6" i="4"/>
  <c r="G5" i="15"/>
  <c r="H6" i="15"/>
  <c r="G5" i="20"/>
  <c r="H6" i="20"/>
  <c r="H6" i="2"/>
  <c r="G5" i="2"/>
  <c r="G77" i="2"/>
  <c r="G79" i="2" s="1"/>
  <c r="H6" i="29"/>
  <c r="G22" i="29"/>
  <c r="G5" i="29"/>
  <c r="G5" i="19"/>
  <c r="H6" i="19"/>
  <c r="G5" i="3"/>
  <c r="H6" i="3"/>
  <c r="H6" i="17"/>
  <c r="G5" i="17"/>
  <c r="G5" i="11"/>
  <c r="H6" i="11"/>
  <c r="G74" i="5"/>
  <c r="G75" i="5" s="1"/>
  <c r="G45" i="5" s="1"/>
  <c r="G87" i="5"/>
  <c r="G62" i="5"/>
  <c r="G63" i="5" s="1"/>
  <c r="G96" i="5"/>
  <c r="G84" i="5"/>
  <c r="G50" i="5"/>
  <c r="G51" i="5" s="1"/>
  <c r="G39" i="5" s="1"/>
  <c r="G90" i="5"/>
  <c r="G70" i="5"/>
  <c r="G71" i="5" s="1"/>
  <c r="G44" i="5" s="1"/>
  <c r="G93" i="5"/>
  <c r="G5" i="5"/>
  <c r="G81" i="5"/>
  <c r="G58" i="5"/>
  <c r="G59" i="5" s="1"/>
  <c r="G41" i="5" s="1"/>
  <c r="G53" i="1" s="1"/>
  <c r="G66" i="5"/>
  <c r="G67" i="5" s="1"/>
  <c r="H6" i="5"/>
  <c r="G54" i="5"/>
  <c r="G55" i="5" s="1"/>
  <c r="G40" i="5" s="1"/>
  <c r="G99" i="5"/>
  <c r="D120" i="2"/>
  <c r="F39" i="29"/>
  <c r="F86" i="2"/>
  <c r="F28" i="3"/>
  <c r="F56" i="1" s="1"/>
  <c r="F14" i="19"/>
  <c r="F8" i="20"/>
  <c r="F57" i="1" s="1"/>
  <c r="F41" i="17"/>
  <c r="E131" i="2"/>
  <c r="E119" i="2"/>
  <c r="E128" i="2"/>
  <c r="E129" i="2"/>
  <c r="E130" i="2"/>
  <c r="E133" i="2"/>
  <c r="E118" i="2"/>
  <c r="E132" i="2"/>
  <c r="D134" i="2"/>
  <c r="E23" i="29"/>
  <c r="D48" i="1"/>
  <c r="D10" i="1" s="1"/>
  <c r="D55" i="10"/>
  <c r="D58" i="10"/>
  <c r="D59" i="10" s="1"/>
  <c r="F35" i="10"/>
  <c r="E54" i="10"/>
  <c r="E50" i="10"/>
  <c r="E65" i="1"/>
  <c r="F45" i="10"/>
  <c r="F49" i="10" s="1"/>
  <c r="F46" i="10"/>
  <c r="F50" i="1"/>
  <c r="E57" i="10"/>
  <c r="E53" i="10"/>
  <c r="G33" i="28"/>
  <c r="F36" i="28"/>
  <c r="F35" i="28"/>
  <c r="G34" i="10" s="1"/>
  <c r="G38" i="10" s="1"/>
  <c r="F34" i="28"/>
  <c r="F32" i="28"/>
  <c r="H6" i="10"/>
  <c r="H5" i="10" s="1"/>
  <c r="G40" i="10"/>
  <c r="G43" i="10" s="1"/>
  <c r="G47" i="10" s="1"/>
  <c r="G32" i="10"/>
  <c r="H6" i="1"/>
  <c r="G5" i="1"/>
  <c r="E50" i="1"/>
  <c r="D34" i="29" l="1"/>
  <c r="D37" i="29" s="1"/>
  <c r="G56" i="27"/>
  <c r="F80" i="17"/>
  <c r="G63" i="27"/>
  <c r="H5" i="17"/>
  <c r="I6" i="17"/>
  <c r="H5" i="5"/>
  <c r="I6" i="5"/>
  <c r="H62" i="5"/>
  <c r="H63" i="5" s="1"/>
  <c r="H42" i="5" s="1"/>
  <c r="H99" i="5"/>
  <c r="H50" i="5"/>
  <c r="H51" i="5" s="1"/>
  <c r="H39" i="5" s="1"/>
  <c r="H87" i="5"/>
  <c r="H58" i="5"/>
  <c r="H59" i="5" s="1"/>
  <c r="H96" i="5"/>
  <c r="H66" i="5"/>
  <c r="H67" i="5" s="1"/>
  <c r="H43" i="5" s="1"/>
  <c r="H55" i="1" s="1"/>
  <c r="H84" i="5"/>
  <c r="H54" i="5"/>
  <c r="H55" i="5" s="1"/>
  <c r="H40" i="5" s="1"/>
  <c r="H52" i="1" s="1"/>
  <c r="H93" i="5"/>
  <c r="H70" i="5"/>
  <c r="H71" i="5" s="1"/>
  <c r="H44" i="5" s="1"/>
  <c r="H81" i="5"/>
  <c r="H74" i="5"/>
  <c r="H75" i="5" s="1"/>
  <c r="H45" i="5" s="1"/>
  <c r="H90" i="5"/>
  <c r="H5" i="4"/>
  <c r="I6" i="4"/>
  <c r="G43" i="5"/>
  <c r="H5" i="29"/>
  <c r="I6" i="29"/>
  <c r="H22" i="29"/>
  <c r="H5" i="20"/>
  <c r="I6" i="20"/>
  <c r="G42" i="5"/>
  <c r="G54" i="1" s="1"/>
  <c r="H5" i="11"/>
  <c r="I6" i="11"/>
  <c r="H5" i="3"/>
  <c r="I6" i="3"/>
  <c r="H5" i="15"/>
  <c r="I6" i="15"/>
  <c r="H5" i="27"/>
  <c r="I6" i="27"/>
  <c r="H5" i="19"/>
  <c r="I6" i="19"/>
  <c r="I6" i="2"/>
  <c r="H77" i="2"/>
  <c r="H79" i="2" s="1"/>
  <c r="H5" i="2"/>
  <c r="D136" i="2"/>
  <c r="D137" i="2"/>
  <c r="D124" i="2"/>
  <c r="D125" i="2"/>
  <c r="E134" i="2"/>
  <c r="E120" i="2"/>
  <c r="G39" i="29"/>
  <c r="G86" i="2"/>
  <c r="G8" i="20"/>
  <c r="G57" i="1" s="1"/>
  <c r="G14" i="19"/>
  <c r="G28" i="3"/>
  <c r="G56" i="1" s="1"/>
  <c r="G41" i="17"/>
  <c r="F131" i="2"/>
  <c r="F128" i="2"/>
  <c r="F119" i="2"/>
  <c r="F130" i="2"/>
  <c r="F132" i="2"/>
  <c r="F133" i="2"/>
  <c r="F129" i="2"/>
  <c r="F118" i="2"/>
  <c r="F23" i="29"/>
  <c r="E55" i="10"/>
  <c r="G50" i="1"/>
  <c r="F51" i="1"/>
  <c r="H5" i="1"/>
  <c r="I6" i="1"/>
  <c r="I6" i="10"/>
  <c r="I5" i="10" s="1"/>
  <c r="H40" i="10"/>
  <c r="H43" i="10" s="1"/>
  <c r="H47" i="10" s="1"/>
  <c r="G35" i="10"/>
  <c r="F57" i="10"/>
  <c r="E15" i="1"/>
  <c r="E17" i="1"/>
  <c r="E16" i="1"/>
  <c r="E18" i="1"/>
  <c r="E14" i="1"/>
  <c r="E19" i="1"/>
  <c r="F53" i="10"/>
  <c r="E13" i="1"/>
  <c r="E12" i="1"/>
  <c r="E51" i="10"/>
  <c r="E48" i="1"/>
  <c r="E58" i="10"/>
  <c r="E59" i="10" s="1"/>
  <c r="G51" i="1"/>
  <c r="G45" i="10"/>
  <c r="G49" i="10" s="1"/>
  <c r="G46" i="10"/>
  <c r="H33" i="28"/>
  <c r="G32" i="28"/>
  <c r="G35" i="28"/>
  <c r="H34" i="10" s="1"/>
  <c r="H38" i="10" s="1"/>
  <c r="G34" i="28"/>
  <c r="G36" i="28"/>
  <c r="F54" i="10"/>
  <c r="F65" i="1"/>
  <c r="F12" i="1" s="1"/>
  <c r="F50" i="10"/>
  <c r="F48" i="1" s="1"/>
  <c r="D41" i="29" l="1"/>
  <c r="D79" i="29" s="1"/>
  <c r="D49" i="29"/>
  <c r="E34" i="29"/>
  <c r="E37" i="29" s="1"/>
  <c r="G80" i="17"/>
  <c r="H63" i="27"/>
  <c r="I5" i="27"/>
  <c r="J6" i="27"/>
  <c r="I5" i="11"/>
  <c r="J6" i="11"/>
  <c r="I5" i="19"/>
  <c r="J6" i="19"/>
  <c r="I5" i="15"/>
  <c r="J6" i="15"/>
  <c r="G55" i="1"/>
  <c r="H41" i="5"/>
  <c r="H46" i="5" s="1"/>
  <c r="I5" i="4"/>
  <c r="J6" i="4"/>
  <c r="I5" i="20"/>
  <c r="J6" i="20"/>
  <c r="I5" i="3"/>
  <c r="J6" i="3"/>
  <c r="I5" i="17"/>
  <c r="J6" i="17"/>
  <c r="L47" i="17" s="1"/>
  <c r="G46" i="5"/>
  <c r="I5" i="2"/>
  <c r="J6" i="2"/>
  <c r="L59" i="2" s="1"/>
  <c r="I77" i="2"/>
  <c r="I5" i="29"/>
  <c r="I22" i="29"/>
  <c r="J6" i="29"/>
  <c r="I54" i="5"/>
  <c r="I55" i="5" s="1"/>
  <c r="I40" i="5" s="1"/>
  <c r="I52" i="1" s="1"/>
  <c r="I93" i="5"/>
  <c r="I74" i="5"/>
  <c r="I75" i="5" s="1"/>
  <c r="I45" i="5" s="1"/>
  <c r="I81" i="5"/>
  <c r="I62" i="5"/>
  <c r="I63" i="5" s="1"/>
  <c r="I90" i="5"/>
  <c r="I50" i="5"/>
  <c r="I51" i="5" s="1"/>
  <c r="J6" i="5"/>
  <c r="I70" i="5"/>
  <c r="I71" i="5" s="1"/>
  <c r="I99" i="5"/>
  <c r="I5" i="5"/>
  <c r="I87" i="5"/>
  <c r="I58" i="5"/>
  <c r="I59" i="5" s="1"/>
  <c r="I41" i="5" s="1"/>
  <c r="I53" i="1" s="1"/>
  <c r="I96" i="5"/>
  <c r="I66" i="5"/>
  <c r="I67" i="5" s="1"/>
  <c r="I84" i="5"/>
  <c r="E137" i="2"/>
  <c r="E136" i="2"/>
  <c r="D141" i="2"/>
  <c r="D140" i="2"/>
  <c r="F120" i="2"/>
  <c r="H39" i="29"/>
  <c r="H86" i="2"/>
  <c r="H28" i="3"/>
  <c r="H56" i="1" s="1"/>
  <c r="H14" i="19"/>
  <c r="H8" i="20"/>
  <c r="H57" i="1" s="1"/>
  <c r="H41" i="17"/>
  <c r="F134" i="2"/>
  <c r="G128" i="2"/>
  <c r="G129" i="2"/>
  <c r="G130" i="2"/>
  <c r="G131" i="2"/>
  <c r="G132" i="2"/>
  <c r="G133" i="2"/>
  <c r="G119" i="2"/>
  <c r="G118" i="2"/>
  <c r="G23" i="29"/>
  <c r="E125" i="2"/>
  <c r="E141" i="2" s="1"/>
  <c r="E124" i="2"/>
  <c r="E140" i="2" s="1"/>
  <c r="H56" i="27"/>
  <c r="I33" i="28"/>
  <c r="H32" i="28"/>
  <c r="H35" i="28"/>
  <c r="I34" i="10" s="1"/>
  <c r="I38" i="10" s="1"/>
  <c r="H36" i="28"/>
  <c r="H34" i="28"/>
  <c r="G52" i="1"/>
  <c r="F51" i="10"/>
  <c r="H46" i="10"/>
  <c r="H45" i="10"/>
  <c r="H49" i="10" s="1"/>
  <c r="F17" i="1"/>
  <c r="F15" i="1"/>
  <c r="F14" i="1"/>
  <c r="F16" i="1"/>
  <c r="H54" i="1"/>
  <c r="H51" i="1"/>
  <c r="H35" i="10"/>
  <c r="F18" i="1"/>
  <c r="I32" i="10"/>
  <c r="J6" i="10"/>
  <c r="J5" i="10" s="1"/>
  <c r="I40" i="10"/>
  <c r="I43" i="10" s="1"/>
  <c r="I47" i="10" s="1"/>
  <c r="J6" i="1"/>
  <c r="I5" i="1"/>
  <c r="F19" i="1"/>
  <c r="G65" i="1"/>
  <c r="G13" i="1" s="1"/>
  <c r="G50" i="10"/>
  <c r="G48" i="1" s="1"/>
  <c r="E10" i="1"/>
  <c r="F58" i="10"/>
  <c r="F59" i="10" s="1"/>
  <c r="F13" i="1"/>
  <c r="F10" i="1"/>
  <c r="F55" i="10"/>
  <c r="G54" i="10"/>
  <c r="G53" i="10"/>
  <c r="G57" i="10"/>
  <c r="F34" i="29" l="1"/>
  <c r="F37" i="29" s="1"/>
  <c r="E49" i="29"/>
  <c r="E41" i="29"/>
  <c r="E79" i="29" s="1"/>
  <c r="H80" i="17"/>
  <c r="I63" i="27"/>
  <c r="J22" i="29"/>
  <c r="J5" i="29"/>
  <c r="K6" i="29"/>
  <c r="L52" i="2"/>
  <c r="J5" i="11"/>
  <c r="K6" i="11"/>
  <c r="K5" i="11" s="1"/>
  <c r="J5" i="20"/>
  <c r="K6" i="20"/>
  <c r="K5" i="20" s="1"/>
  <c r="L41" i="2"/>
  <c r="J5" i="27"/>
  <c r="K6" i="27"/>
  <c r="K5" i="27" s="1"/>
  <c r="J74" i="5"/>
  <c r="J75" i="5" s="1"/>
  <c r="J45" i="5" s="1"/>
  <c r="L45" i="5" s="1"/>
  <c r="J84" i="5"/>
  <c r="J81" i="5"/>
  <c r="J66" i="5"/>
  <c r="J67" i="5" s="1"/>
  <c r="J62" i="5"/>
  <c r="J63" i="5" s="1"/>
  <c r="J42" i="5" s="1"/>
  <c r="J93" i="5"/>
  <c r="J99" i="5"/>
  <c r="J87" i="5"/>
  <c r="J50" i="5"/>
  <c r="J51" i="5" s="1"/>
  <c r="J39" i="5" s="1"/>
  <c r="J70" i="5"/>
  <c r="J71" i="5" s="1"/>
  <c r="J44" i="5" s="1"/>
  <c r="J90" i="5"/>
  <c r="J5" i="5"/>
  <c r="K6" i="5"/>
  <c r="J58" i="5"/>
  <c r="J59" i="5" s="1"/>
  <c r="J41" i="5" s="1"/>
  <c r="L41" i="5" s="1"/>
  <c r="J54" i="5"/>
  <c r="J96" i="5"/>
  <c r="L17" i="5"/>
  <c r="L73" i="5"/>
  <c r="L69" i="5"/>
  <c r="L65" i="5"/>
  <c r="L13" i="5"/>
  <c r="L15" i="5"/>
  <c r="L14" i="5"/>
  <c r="L49" i="5"/>
  <c r="L61" i="5"/>
  <c r="L16" i="5"/>
  <c r="L11" i="5"/>
  <c r="L57" i="5"/>
  <c r="I43" i="5"/>
  <c r="I42" i="5"/>
  <c r="I54" i="1" s="1"/>
  <c r="J5" i="3"/>
  <c r="K6" i="3"/>
  <c r="K5" i="3" s="1"/>
  <c r="J5" i="15"/>
  <c r="J50" i="15" s="1"/>
  <c r="K6" i="15"/>
  <c r="K5" i="15" s="1"/>
  <c r="L56" i="2"/>
  <c r="J77" i="2"/>
  <c r="J79" i="2" s="1"/>
  <c r="L79" i="2" s="1"/>
  <c r="J5" i="2"/>
  <c r="K6" i="2"/>
  <c r="L53" i="2"/>
  <c r="L40" i="2"/>
  <c r="L58" i="2"/>
  <c r="L54" i="2"/>
  <c r="J5" i="17"/>
  <c r="K6" i="17"/>
  <c r="L50" i="2"/>
  <c r="J5" i="19"/>
  <c r="K6" i="19"/>
  <c r="K5" i="19" s="1"/>
  <c r="I39" i="5"/>
  <c r="I51" i="1" s="1"/>
  <c r="L55" i="2"/>
  <c r="L62" i="2"/>
  <c r="L63" i="2"/>
  <c r="L51" i="2"/>
  <c r="L47" i="2"/>
  <c r="G134" i="2"/>
  <c r="G136" i="2" s="1"/>
  <c r="I44" i="5"/>
  <c r="L44" i="5" s="1"/>
  <c r="I79" i="2"/>
  <c r="L46" i="2"/>
  <c r="J5" i="4"/>
  <c r="K6" i="4"/>
  <c r="K5" i="4" s="1"/>
  <c r="G120" i="2"/>
  <c r="F137" i="2"/>
  <c r="F136" i="2"/>
  <c r="D142" i="2"/>
  <c r="H119" i="2"/>
  <c r="H130" i="2"/>
  <c r="H133" i="2"/>
  <c r="H131" i="2"/>
  <c r="H129" i="2"/>
  <c r="H132" i="2"/>
  <c r="H118" i="2"/>
  <c r="H128" i="2"/>
  <c r="E142" i="2"/>
  <c r="H23" i="29"/>
  <c r="I39" i="29"/>
  <c r="I86" i="2"/>
  <c r="I28" i="3"/>
  <c r="I56" i="1" s="1"/>
  <c r="I8" i="20"/>
  <c r="I57" i="1" s="1"/>
  <c r="I14" i="19"/>
  <c r="I41" i="17"/>
  <c r="F125" i="2"/>
  <c r="F124" i="2"/>
  <c r="I56" i="27"/>
  <c r="G58" i="10"/>
  <c r="G59" i="10" s="1"/>
  <c r="G55" i="10"/>
  <c r="H53" i="1"/>
  <c r="I46" i="10"/>
  <c r="I45" i="10"/>
  <c r="I49" i="10" s="1"/>
  <c r="G18" i="1"/>
  <c r="H53" i="10"/>
  <c r="H57" i="10"/>
  <c r="G14" i="1"/>
  <c r="H50" i="1"/>
  <c r="I35" i="10"/>
  <c r="I32" i="28"/>
  <c r="J33" i="28"/>
  <c r="I35" i="28"/>
  <c r="J34" i="10" s="1"/>
  <c r="J38" i="10" s="1"/>
  <c r="I36" i="28"/>
  <c r="I34" i="28"/>
  <c r="J40" i="10"/>
  <c r="J43" i="10" s="1"/>
  <c r="J47" i="10" s="1"/>
  <c r="K6" i="10"/>
  <c r="K5" i="10" s="1"/>
  <c r="J32" i="10"/>
  <c r="H54" i="10"/>
  <c r="H50" i="10"/>
  <c r="H65" i="1"/>
  <c r="H19" i="1" s="1"/>
  <c r="G10" i="1"/>
  <c r="G51" i="10"/>
  <c r="G19" i="1"/>
  <c r="G17" i="1"/>
  <c r="G15" i="1"/>
  <c r="G12" i="1"/>
  <c r="G16" i="1"/>
  <c r="K6" i="1"/>
  <c r="J5" i="1"/>
  <c r="F41" i="29" l="1"/>
  <c r="F79" i="29" s="1"/>
  <c r="F49" i="29"/>
  <c r="G34" i="29"/>
  <c r="G37" i="29" s="1"/>
  <c r="I80" i="17"/>
  <c r="J63" i="27"/>
  <c r="F141" i="2"/>
  <c r="L59" i="5"/>
  <c r="L63" i="5"/>
  <c r="L75" i="5"/>
  <c r="L42" i="5"/>
  <c r="G137" i="2"/>
  <c r="K5" i="2"/>
  <c r="K77" i="2"/>
  <c r="L64" i="2"/>
  <c r="L77" i="2"/>
  <c r="I46" i="5"/>
  <c r="K5" i="17"/>
  <c r="K82" i="15"/>
  <c r="K50" i="15"/>
  <c r="K54" i="5"/>
  <c r="K55" i="5" s="1"/>
  <c r="K74" i="5"/>
  <c r="K75" i="5" s="1"/>
  <c r="K99" i="5"/>
  <c r="K84" i="5"/>
  <c r="K62" i="5"/>
  <c r="K63" i="5" s="1"/>
  <c r="K87" i="5"/>
  <c r="K50" i="5"/>
  <c r="K51" i="5" s="1"/>
  <c r="K96" i="5"/>
  <c r="K81" i="5"/>
  <c r="K90" i="5"/>
  <c r="K70" i="5"/>
  <c r="K71" i="5" s="1"/>
  <c r="K5" i="5"/>
  <c r="K93" i="5"/>
  <c r="K58" i="5"/>
  <c r="K59" i="5" s="1"/>
  <c r="K66" i="5"/>
  <c r="K67" i="5" s="1"/>
  <c r="L42" i="2"/>
  <c r="K22" i="29"/>
  <c r="K5" i="29"/>
  <c r="L71" i="5"/>
  <c r="L67" i="5"/>
  <c r="J43" i="5"/>
  <c r="L43" i="5" s="1"/>
  <c r="I55" i="1"/>
  <c r="L51" i="5"/>
  <c r="L39" i="5"/>
  <c r="F140" i="2"/>
  <c r="H120" i="2"/>
  <c r="H134" i="2"/>
  <c r="I118" i="2"/>
  <c r="I119" i="2"/>
  <c r="I131" i="2"/>
  <c r="I133" i="2"/>
  <c r="I132" i="2"/>
  <c r="I128" i="2"/>
  <c r="I130" i="2"/>
  <c r="I129" i="2"/>
  <c r="G125" i="2"/>
  <c r="G124" i="2"/>
  <c r="J86" i="2"/>
  <c r="J39" i="29"/>
  <c r="J14" i="19"/>
  <c r="J8" i="20"/>
  <c r="J57" i="1" s="1"/>
  <c r="J28" i="3"/>
  <c r="J56" i="1" s="1"/>
  <c r="J41" i="17"/>
  <c r="J56" i="17" s="1"/>
  <c r="I23" i="29"/>
  <c r="I34" i="29" s="1"/>
  <c r="J56" i="27"/>
  <c r="H18" i="1"/>
  <c r="H55" i="10"/>
  <c r="J50" i="1"/>
  <c r="H51" i="10"/>
  <c r="H48" i="1"/>
  <c r="H13" i="1"/>
  <c r="K32" i="10"/>
  <c r="K40" i="10"/>
  <c r="K43" i="10" s="1"/>
  <c r="K47" i="10" s="1"/>
  <c r="J35" i="10"/>
  <c r="H16" i="1"/>
  <c r="I65" i="1"/>
  <c r="I13" i="1" s="1"/>
  <c r="I50" i="10"/>
  <c r="I48" i="1" s="1"/>
  <c r="H15" i="1"/>
  <c r="J54" i="1"/>
  <c r="J46" i="10"/>
  <c r="J45" i="10"/>
  <c r="J49" i="10" s="1"/>
  <c r="H58" i="10"/>
  <c r="H59" i="10" s="1"/>
  <c r="J51" i="1"/>
  <c r="I50" i="1"/>
  <c r="H12" i="1"/>
  <c r="K5" i="1"/>
  <c r="H14" i="1"/>
  <c r="H17" i="1"/>
  <c r="J32" i="28"/>
  <c r="J35" i="28"/>
  <c r="K34" i="10" s="1"/>
  <c r="K38" i="10" s="1"/>
  <c r="K56" i="27" s="1"/>
  <c r="J36" i="28"/>
  <c r="J34" i="28"/>
  <c r="I54" i="10"/>
  <c r="I53" i="10"/>
  <c r="I57" i="10"/>
  <c r="G49" i="29" l="1"/>
  <c r="G41" i="29"/>
  <c r="G79" i="29" s="1"/>
  <c r="H34" i="29"/>
  <c r="H37" i="29" s="1"/>
  <c r="J80" i="17"/>
  <c r="K63" i="27"/>
  <c r="J55" i="1"/>
  <c r="K43" i="5"/>
  <c r="M43" i="5" s="1"/>
  <c r="M67" i="5"/>
  <c r="K39" i="5"/>
  <c r="M51" i="5"/>
  <c r="K41" i="5"/>
  <c r="M59" i="5"/>
  <c r="K42" i="5"/>
  <c r="M42" i="5" s="1"/>
  <c r="M63" i="5"/>
  <c r="K44" i="5"/>
  <c r="M44" i="5" s="1"/>
  <c r="M71" i="5"/>
  <c r="K45" i="5"/>
  <c r="M45" i="5" s="1"/>
  <c r="M75" i="5"/>
  <c r="K40" i="5"/>
  <c r="K79" i="2"/>
  <c r="M79" i="2" s="1"/>
  <c r="M77" i="2"/>
  <c r="J23" i="29"/>
  <c r="J34" i="29" s="1"/>
  <c r="I120" i="2"/>
  <c r="H136" i="2"/>
  <c r="H137" i="2"/>
  <c r="J118" i="2"/>
  <c r="J103" i="2"/>
  <c r="J132" i="2"/>
  <c r="L132" i="2" s="1"/>
  <c r="J105" i="2"/>
  <c r="J102" i="2"/>
  <c r="J101" i="2"/>
  <c r="J128" i="2"/>
  <c r="L128" i="2" s="1"/>
  <c r="J104" i="2"/>
  <c r="J133" i="2"/>
  <c r="L133" i="2" s="1"/>
  <c r="J129" i="2"/>
  <c r="L129" i="2" s="1"/>
  <c r="J130" i="2"/>
  <c r="L130" i="2" s="1"/>
  <c r="J131" i="2"/>
  <c r="L131" i="2" s="1"/>
  <c r="J100" i="2"/>
  <c r="J90" i="2"/>
  <c r="J119" i="2"/>
  <c r="I134" i="2"/>
  <c r="L118" i="2"/>
  <c r="G140" i="2"/>
  <c r="G141" i="2"/>
  <c r="F142" i="2"/>
  <c r="K86" i="2"/>
  <c r="K39" i="29"/>
  <c r="K14" i="19"/>
  <c r="K8" i="20"/>
  <c r="K57" i="1" s="1"/>
  <c r="K28" i="3"/>
  <c r="K56" i="1" s="1"/>
  <c r="N56" i="1" s="1"/>
  <c r="K41" i="17"/>
  <c r="K56" i="17" s="1"/>
  <c r="H125" i="2"/>
  <c r="H124" i="2"/>
  <c r="I18" i="1"/>
  <c r="I19" i="1"/>
  <c r="I51" i="10"/>
  <c r="I58" i="10"/>
  <c r="I59" i="10" s="1"/>
  <c r="I55" i="10"/>
  <c r="I17" i="1"/>
  <c r="I14" i="1"/>
  <c r="I15" i="1"/>
  <c r="I16" i="1"/>
  <c r="M56" i="1"/>
  <c r="K35" i="10"/>
  <c r="I12" i="1"/>
  <c r="M50" i="1"/>
  <c r="J54" i="10"/>
  <c r="J53" i="10"/>
  <c r="J57" i="10"/>
  <c r="H10" i="1"/>
  <c r="K46" i="10"/>
  <c r="K45" i="10"/>
  <c r="K49" i="10" s="1"/>
  <c r="J65" i="1"/>
  <c r="J50" i="10"/>
  <c r="J48" i="1" s="1"/>
  <c r="I10" i="1"/>
  <c r="J53" i="1"/>
  <c r="K50" i="1" l="1"/>
  <c r="N50" i="1" s="1"/>
  <c r="H49" i="29"/>
  <c r="H41" i="29"/>
  <c r="H79" i="29" s="1"/>
  <c r="L80" i="17"/>
  <c r="K80" i="17"/>
  <c r="J106" i="2"/>
  <c r="J109" i="2" s="1"/>
  <c r="M41" i="5"/>
  <c r="K53" i="1"/>
  <c r="N53" i="1" s="1"/>
  <c r="G142" i="2"/>
  <c r="K52" i="1"/>
  <c r="K46" i="5"/>
  <c r="M39" i="5"/>
  <c r="J120" i="2"/>
  <c r="L119" i="2"/>
  <c r="L120" i="2" s="1"/>
  <c r="J134" i="2"/>
  <c r="J81" i="15"/>
  <c r="J82" i="15"/>
  <c r="H141" i="2"/>
  <c r="H140" i="2"/>
  <c r="I125" i="2"/>
  <c r="I124" i="2"/>
  <c r="K23" i="29"/>
  <c r="K34" i="29" s="1"/>
  <c r="K132" i="2"/>
  <c r="M132" i="2" s="1"/>
  <c r="K103" i="2"/>
  <c r="K105" i="2"/>
  <c r="K129" i="2"/>
  <c r="M129" i="2" s="1"/>
  <c r="K102" i="2"/>
  <c r="K104" i="2"/>
  <c r="K128" i="2"/>
  <c r="K100" i="2"/>
  <c r="K131" i="2"/>
  <c r="M131" i="2" s="1"/>
  <c r="K133" i="2"/>
  <c r="M133" i="2" s="1"/>
  <c r="K101" i="2"/>
  <c r="K118" i="2"/>
  <c r="K130" i="2"/>
  <c r="M130" i="2" s="1"/>
  <c r="K119" i="2"/>
  <c r="I137" i="2"/>
  <c r="I136" i="2"/>
  <c r="M57" i="1"/>
  <c r="J16" i="1"/>
  <c r="J10" i="1"/>
  <c r="K65" i="1"/>
  <c r="K50" i="10"/>
  <c r="K48" i="1" s="1"/>
  <c r="N48" i="1" s="1"/>
  <c r="J12" i="1"/>
  <c r="J13" i="1"/>
  <c r="K54" i="1"/>
  <c r="K51" i="1"/>
  <c r="M13" i="1" s="1"/>
  <c r="M48" i="1"/>
  <c r="J58" i="10"/>
  <c r="J59" i="10" s="1"/>
  <c r="M19" i="1"/>
  <c r="J51" i="10"/>
  <c r="M10" i="1"/>
  <c r="J17" i="1"/>
  <c r="J18" i="1"/>
  <c r="J15" i="1"/>
  <c r="M15" i="1"/>
  <c r="M53" i="1"/>
  <c r="K55" i="1"/>
  <c r="M17" i="1" s="1"/>
  <c r="J55" i="10"/>
  <c r="M12" i="1"/>
  <c r="N57" i="1"/>
  <c r="J19" i="1"/>
  <c r="M18" i="1"/>
  <c r="K57" i="10"/>
  <c r="K54" i="10"/>
  <c r="K53" i="10"/>
  <c r="M80" i="17" l="1"/>
  <c r="J108" i="2"/>
  <c r="I140" i="2"/>
  <c r="K134" i="2"/>
  <c r="M134" i="2" s="1"/>
  <c r="M128" i="2"/>
  <c r="M118" i="2"/>
  <c r="K120" i="2"/>
  <c r="M119" i="2"/>
  <c r="J137" i="2"/>
  <c r="J136" i="2"/>
  <c r="L134" i="2"/>
  <c r="H142" i="2"/>
  <c r="I141" i="2"/>
  <c r="K106" i="2"/>
  <c r="J124" i="2"/>
  <c r="L124" i="2" s="1"/>
  <c r="J125" i="2"/>
  <c r="L125" i="2" s="1"/>
  <c r="M54" i="1"/>
  <c r="M51" i="1"/>
  <c r="M55" i="1"/>
  <c r="M16" i="1"/>
  <c r="N18" i="1"/>
  <c r="N15" i="1"/>
  <c r="K55" i="10"/>
  <c r="K19" i="1"/>
  <c r="K18" i="1"/>
  <c r="N10" i="1"/>
  <c r="K58" i="10"/>
  <c r="K59" i="10" s="1"/>
  <c r="N19" i="1"/>
  <c r="K51" i="10"/>
  <c r="N12" i="1"/>
  <c r="K16" i="1"/>
  <c r="N54" i="1"/>
  <c r="N16" i="1"/>
  <c r="K13" i="1"/>
  <c r="N13" i="1"/>
  <c r="N51" i="1"/>
  <c r="K10" i="1"/>
  <c r="K17" i="1"/>
  <c r="N17" i="1"/>
  <c r="N55" i="1"/>
  <c r="K14" i="1"/>
  <c r="K15" i="1"/>
  <c r="K12" i="1"/>
  <c r="I142" i="2" l="1"/>
  <c r="M120" i="2"/>
  <c r="K137" i="2"/>
  <c r="M137" i="2" s="1"/>
  <c r="K136" i="2"/>
  <c r="M136" i="2" s="1"/>
  <c r="K109" i="2"/>
  <c r="K108" i="2"/>
  <c r="K124" i="2"/>
  <c r="K125" i="2"/>
  <c r="J140" i="2"/>
  <c r="L136" i="2"/>
  <c r="J141" i="2"/>
  <c r="L137" i="2"/>
  <c r="L141" i="2" l="1"/>
  <c r="K141" i="2"/>
  <c r="M141" i="2" s="1"/>
  <c r="M125" i="2"/>
  <c r="K140" i="2"/>
  <c r="M124" i="2"/>
  <c r="J142" i="2"/>
  <c r="L140" i="2"/>
  <c r="K142" i="2" l="1"/>
  <c r="M142" i="2" s="1"/>
  <c r="M140" i="2"/>
  <c r="L142" i="2"/>
  <c r="K26" i="4" l="1"/>
  <c r="K28" i="4" s="1"/>
  <c r="I26" i="4"/>
  <c r="I28" i="4" s="1"/>
  <c r="H26" i="4" l="1"/>
  <c r="H28" i="4" s="1"/>
  <c r="D26" i="4"/>
  <c r="D28" i="4" s="1"/>
  <c r="J26" i="4"/>
  <c r="J28" i="4" s="1"/>
  <c r="F26" i="4"/>
  <c r="F28" i="4" s="1"/>
  <c r="G26" i="4"/>
  <c r="G28" i="4" s="1"/>
  <c r="I37" i="29" l="1"/>
  <c r="E26" i="4"/>
  <c r="E28" i="4" s="1"/>
  <c r="I41" i="29" l="1"/>
  <c r="I79" i="29" s="1"/>
  <c r="I49" i="29"/>
  <c r="J37" i="29" l="1"/>
  <c r="J18" i="5"/>
  <c r="J53" i="5"/>
  <c r="L12" i="5"/>
  <c r="L18" i="5" s="1"/>
  <c r="M12" i="5"/>
  <c r="M18" i="5" s="1"/>
  <c r="K37" i="29" l="1"/>
  <c r="J49" i="29"/>
  <c r="J41" i="29"/>
  <c r="J79" i="29" s="1"/>
  <c r="L53" i="5"/>
  <c r="M53" i="5"/>
  <c r="J55" i="5"/>
  <c r="K49" i="29" l="1"/>
  <c r="K41" i="29"/>
  <c r="K79" i="29" s="1"/>
  <c r="L55" i="5"/>
  <c r="J40" i="5"/>
  <c r="M55" i="5"/>
  <c r="J46" i="5" l="1"/>
  <c r="L40" i="5"/>
  <c r="L46" i="5" s="1"/>
  <c r="J52" i="1"/>
  <c r="M40" i="5"/>
  <c r="M46" i="5" s="1"/>
  <c r="N52" i="1" l="1"/>
  <c r="J14" i="1"/>
  <c r="N14" i="1"/>
  <c r="M52" i="1"/>
  <c r="M14" i="1"/>
  <c r="K28" i="17" l="1"/>
  <c r="J28" i="17"/>
  <c r="J30" i="17" s="1"/>
  <c r="J98" i="17" s="1"/>
  <c r="J107" i="17" l="1"/>
  <c r="J33" i="17"/>
  <c r="L48" i="17" l="1"/>
  <c r="M48" i="17"/>
  <c r="M52" i="17"/>
  <c r="L52" i="17"/>
  <c r="H8" i="27"/>
  <c r="M51" i="17"/>
  <c r="L51" i="17"/>
  <c r="M50" i="17"/>
  <c r="L50" i="17"/>
  <c r="E8" i="27"/>
  <c r="L49" i="17"/>
  <c r="M49" i="17"/>
  <c r="M53" i="17"/>
  <c r="L53" i="17"/>
  <c r="D23" i="27" l="1"/>
  <c r="H23" i="27"/>
  <c r="K23" i="27"/>
  <c r="K42" i="27" s="1"/>
  <c r="G23" i="27"/>
  <c r="G42" i="27" s="1"/>
  <c r="I55" i="17"/>
  <c r="I56" i="17" s="1"/>
  <c r="I8" i="27"/>
  <c r="F55" i="17"/>
  <c r="F56" i="17" s="1"/>
  <c r="G8" i="27"/>
  <c r="J8" i="27"/>
  <c r="I23" i="27"/>
  <c r="F8" i="27"/>
  <c r="G55" i="17"/>
  <c r="G56" i="17" s="1"/>
  <c r="E23" i="27"/>
  <c r="E55" i="17"/>
  <c r="E56" i="17" s="1"/>
  <c r="J23" i="27"/>
  <c r="K8" i="27"/>
  <c r="H55" i="17"/>
  <c r="H56" i="17" s="1"/>
  <c r="H28" i="17" l="1"/>
  <c r="H30" i="17" s="1"/>
  <c r="H98" i="17" s="1"/>
  <c r="E42" i="27"/>
  <c r="I28" i="17"/>
  <c r="I30" i="17" s="1"/>
  <c r="G44" i="27"/>
  <c r="G48" i="27" s="1"/>
  <c r="H47" i="27" s="1"/>
  <c r="M46" i="17"/>
  <c r="L46" i="17"/>
  <c r="D55" i="17"/>
  <c r="H42" i="27"/>
  <c r="F23" i="27"/>
  <c r="D42" i="27"/>
  <c r="J42" i="27"/>
  <c r="I42" i="27"/>
  <c r="G28" i="17" l="1"/>
  <c r="G30" i="17" s="1"/>
  <c r="G98" i="17" s="1"/>
  <c r="F28" i="17"/>
  <c r="F30" i="17" s="1"/>
  <c r="E28" i="17"/>
  <c r="E30" i="17" s="1"/>
  <c r="E98" i="17" s="1"/>
  <c r="J44" i="27"/>
  <c r="J48" i="27" s="1"/>
  <c r="K47" i="27" s="1"/>
  <c r="L55" i="17"/>
  <c r="M55" i="17"/>
  <c r="D56" i="17"/>
  <c r="E44" i="27"/>
  <c r="E48" i="27" s="1"/>
  <c r="F47" i="27" s="1"/>
  <c r="D44" i="27"/>
  <c r="D48" i="27" s="1"/>
  <c r="G33" i="17"/>
  <c r="G107" i="17"/>
  <c r="I107" i="17"/>
  <c r="I33" i="17"/>
  <c r="H107" i="17"/>
  <c r="H33" i="17"/>
  <c r="I44" i="27"/>
  <c r="I48" i="27" s="1"/>
  <c r="J47" i="27" s="1"/>
  <c r="F42" i="27"/>
  <c r="I98" i="17"/>
  <c r="F107" i="17"/>
  <c r="F33" i="17"/>
  <c r="D28" i="17"/>
  <c r="D30" i="17" s="1"/>
  <c r="H44" i="27"/>
  <c r="H48" i="27" s="1"/>
  <c r="I47" i="27" s="1"/>
  <c r="F98" i="17"/>
  <c r="E107" i="17" l="1"/>
  <c r="E33" i="17"/>
  <c r="I54" i="27"/>
  <c r="I57" i="27" s="1"/>
  <c r="J54" i="27"/>
  <c r="J55" i="27" s="1"/>
  <c r="I39" i="17"/>
  <c r="D107" i="17"/>
  <c r="D33" i="17"/>
  <c r="F44" i="27"/>
  <c r="F48" i="27" s="1"/>
  <c r="G47" i="27" s="1"/>
  <c r="G54" i="27" s="1"/>
  <c r="M56" i="17"/>
  <c r="L56" i="17"/>
  <c r="D98" i="17"/>
  <c r="J39" i="17"/>
  <c r="H54" i="27"/>
  <c r="E47" i="27"/>
  <c r="E54" i="27" s="1"/>
  <c r="D54" i="27"/>
  <c r="J57" i="27" l="1"/>
  <c r="I55" i="27"/>
  <c r="G39" i="17"/>
  <c r="G55" i="27"/>
  <c r="G57" i="27"/>
  <c r="J62" i="27"/>
  <c r="J66" i="1" s="1"/>
  <c r="J61" i="27"/>
  <c r="J64" i="27" s="1"/>
  <c r="J47" i="29"/>
  <c r="J59" i="27"/>
  <c r="E39" i="17"/>
  <c r="E57" i="27"/>
  <c r="E55" i="27"/>
  <c r="I65" i="17"/>
  <c r="I43" i="17"/>
  <c r="I86" i="17" s="1"/>
  <c r="D39" i="17"/>
  <c r="D57" i="27"/>
  <c r="D55" i="27"/>
  <c r="L98" i="17"/>
  <c r="I61" i="27"/>
  <c r="I64" i="27" s="1"/>
  <c r="I62" i="27"/>
  <c r="I66" i="1" s="1"/>
  <c r="I47" i="29"/>
  <c r="I59" i="27"/>
  <c r="J65" i="17"/>
  <c r="J43" i="17"/>
  <c r="J86" i="17" s="1"/>
  <c r="H39" i="17"/>
  <c r="H57" i="27"/>
  <c r="H55" i="27"/>
  <c r="F54" i="27"/>
  <c r="E43" i="17" l="1"/>
  <c r="E86" i="17" s="1"/>
  <c r="E65" i="17"/>
  <c r="D62" i="27"/>
  <c r="D66" i="1" s="1"/>
  <c r="D61" i="27"/>
  <c r="D64" i="27" s="1"/>
  <c r="D47" i="29"/>
  <c r="D59" i="27"/>
  <c r="D65" i="17"/>
  <c r="D43" i="17"/>
  <c r="J63" i="17"/>
  <c r="J66" i="17" s="1"/>
  <c r="J67" i="17" s="1"/>
  <c r="J66" i="27"/>
  <c r="I32" i="1"/>
  <c r="I33" i="1"/>
  <c r="I36" i="1"/>
  <c r="I31" i="1"/>
  <c r="I29" i="1"/>
  <c r="I38" i="1"/>
  <c r="I34" i="1"/>
  <c r="I35" i="1"/>
  <c r="I37" i="1"/>
  <c r="J31" i="1"/>
  <c r="J33" i="1"/>
  <c r="J35" i="1"/>
  <c r="J34" i="1"/>
  <c r="J37" i="1"/>
  <c r="J32" i="1"/>
  <c r="J36" i="1"/>
  <c r="J38" i="1"/>
  <c r="J29" i="1"/>
  <c r="F55" i="27"/>
  <c r="F57" i="27"/>
  <c r="F39" i="17"/>
  <c r="I63" i="17"/>
  <c r="I66" i="17" s="1"/>
  <c r="I67" i="17" s="1"/>
  <c r="I66" i="27"/>
  <c r="H61" i="27"/>
  <c r="H64" i="27" s="1"/>
  <c r="H62" i="27"/>
  <c r="H66" i="1" s="1"/>
  <c r="H47" i="29"/>
  <c r="H59" i="27"/>
  <c r="G47" i="29"/>
  <c r="G62" i="27"/>
  <c r="G66" i="1" s="1"/>
  <c r="G61" i="27"/>
  <c r="G64" i="27" s="1"/>
  <c r="G59" i="27"/>
  <c r="H43" i="17"/>
  <c r="H86" i="17" s="1"/>
  <c r="H65" i="17"/>
  <c r="E47" i="29"/>
  <c r="E62" i="27"/>
  <c r="E66" i="1" s="1"/>
  <c r="E61" i="27"/>
  <c r="E64" i="27" s="1"/>
  <c r="E59" i="27"/>
  <c r="G43" i="17"/>
  <c r="G86" i="17" s="1"/>
  <c r="G65" i="17"/>
  <c r="I69" i="17" l="1"/>
  <c r="J69" i="17"/>
  <c r="D86" i="17"/>
  <c r="E63" i="17"/>
  <c r="E66" i="17" s="1"/>
  <c r="E67" i="17" s="1"/>
  <c r="E66" i="27"/>
  <c r="G63" i="17"/>
  <c r="G66" i="17" s="1"/>
  <c r="G67" i="17" s="1"/>
  <c r="G66" i="27"/>
  <c r="G31" i="1"/>
  <c r="G35" i="1"/>
  <c r="G34" i="1"/>
  <c r="G32" i="1"/>
  <c r="G37" i="1"/>
  <c r="G38" i="1"/>
  <c r="G36" i="1"/>
  <c r="G33" i="1"/>
  <c r="G29" i="1"/>
  <c r="I108" i="17"/>
  <c r="I109" i="17" s="1"/>
  <c r="I110" i="17" s="1"/>
  <c r="I100" i="17" s="1"/>
  <c r="I102" i="17" s="1"/>
  <c r="I70" i="17"/>
  <c r="E33" i="1"/>
  <c r="E35" i="1"/>
  <c r="E32" i="1"/>
  <c r="E37" i="1"/>
  <c r="E34" i="1"/>
  <c r="E29" i="1"/>
  <c r="E31" i="1"/>
  <c r="E38" i="1"/>
  <c r="E36" i="1"/>
  <c r="F65" i="17"/>
  <c r="F43" i="17"/>
  <c r="F86" i="17" s="1"/>
  <c r="D63" i="17"/>
  <c r="D66" i="17" s="1"/>
  <c r="D67" i="17" s="1"/>
  <c r="D66" i="27"/>
  <c r="D31" i="1"/>
  <c r="D32" i="1"/>
  <c r="D34" i="1"/>
  <c r="D33" i="1"/>
  <c r="D38" i="1"/>
  <c r="D35" i="1"/>
  <c r="D37" i="1"/>
  <c r="D29" i="1"/>
  <c r="D36" i="1"/>
  <c r="F61" i="27"/>
  <c r="F64" i="27" s="1"/>
  <c r="F47" i="29"/>
  <c r="F62" i="27"/>
  <c r="F66" i="1" s="1"/>
  <c r="F59" i="27"/>
  <c r="H38" i="1"/>
  <c r="H36" i="1"/>
  <c r="H35" i="1"/>
  <c r="H32" i="1"/>
  <c r="H37" i="1"/>
  <c r="H33" i="1"/>
  <c r="H31" i="1"/>
  <c r="H34" i="1"/>
  <c r="H29" i="1"/>
  <c r="J70" i="17"/>
  <c r="J108" i="17"/>
  <c r="J109" i="17" s="1"/>
  <c r="J110" i="17" s="1"/>
  <c r="J100" i="17" s="1"/>
  <c r="J102" i="17" s="1"/>
  <c r="H63" i="17"/>
  <c r="H66" i="27"/>
  <c r="J88" i="17" l="1"/>
  <c r="I88" i="17"/>
  <c r="E69" i="17"/>
  <c r="I86" i="29"/>
  <c r="J86" i="29"/>
  <c r="D69" i="17"/>
  <c r="G69" i="17"/>
  <c r="M35" i="1"/>
  <c r="M32" i="1"/>
  <c r="M34" i="1"/>
  <c r="L43" i="17"/>
  <c r="I90" i="17"/>
  <c r="J90" i="17"/>
  <c r="F63" i="17"/>
  <c r="F66" i="17" s="1"/>
  <c r="F67" i="17" s="1"/>
  <c r="F66" i="27"/>
  <c r="M38" i="1"/>
  <c r="G70" i="17"/>
  <c r="G108" i="17"/>
  <c r="G109" i="17" s="1"/>
  <c r="G110" i="17" s="1"/>
  <c r="G100" i="17" s="1"/>
  <c r="G102" i="17" s="1"/>
  <c r="M36" i="1"/>
  <c r="H108" i="17"/>
  <c r="H109" i="17" s="1"/>
  <c r="H110" i="17" s="1"/>
  <c r="H100" i="17" s="1"/>
  <c r="H102" i="17" s="1"/>
  <c r="H70" i="17"/>
  <c r="H66" i="17"/>
  <c r="H67" i="17" s="1"/>
  <c r="M37" i="1"/>
  <c r="D70" i="17"/>
  <c r="D108" i="17"/>
  <c r="D109" i="17" s="1"/>
  <c r="D110" i="17" s="1"/>
  <c r="D100" i="17" s="1"/>
  <c r="E108" i="17"/>
  <c r="E109" i="17" s="1"/>
  <c r="E110" i="17" s="1"/>
  <c r="E100" i="17" s="1"/>
  <c r="E102" i="17" s="1"/>
  <c r="E70" i="17"/>
  <c r="M29" i="1"/>
  <c r="F34" i="1"/>
  <c r="F32" i="1"/>
  <c r="F35" i="1"/>
  <c r="F36" i="1"/>
  <c r="F31" i="1"/>
  <c r="F37" i="1"/>
  <c r="F33" i="1"/>
  <c r="F29" i="1"/>
  <c r="F38" i="1"/>
  <c r="M33" i="1"/>
  <c r="L86" i="17"/>
  <c r="M31" i="1"/>
  <c r="E88" i="17" l="1"/>
  <c r="E90" i="17" s="1"/>
  <c r="G88" i="17"/>
  <c r="G90" i="17" s="1"/>
  <c r="E86" i="29"/>
  <c r="H86" i="29"/>
  <c r="D86" i="29"/>
  <c r="D88" i="17"/>
  <c r="D90" i="17" s="1"/>
  <c r="H69" i="17"/>
  <c r="H88" i="17" s="1"/>
  <c r="F69" i="17"/>
  <c r="G86" i="29"/>
  <c r="D102" i="17"/>
  <c r="F70" i="17"/>
  <c r="F108" i="17"/>
  <c r="F109" i="17" s="1"/>
  <c r="F110" i="17" s="1"/>
  <c r="F100" i="17" s="1"/>
  <c r="F102" i="17" s="1"/>
  <c r="F88" i="17" l="1"/>
  <c r="F90" i="17" s="1"/>
  <c r="L69" i="17"/>
  <c r="H90" i="17"/>
  <c r="J88" i="29"/>
  <c r="J50" i="29"/>
  <c r="J51" i="29" s="1"/>
  <c r="J53" i="29" s="1"/>
  <c r="J81" i="29" s="1"/>
  <c r="F86" i="29"/>
  <c r="I88" i="29"/>
  <c r="I50" i="29"/>
  <c r="I51" i="29" s="1"/>
  <c r="I53" i="29" s="1"/>
  <c r="I81" i="29" s="1"/>
  <c r="L70" i="17"/>
  <c r="L102" i="17"/>
  <c r="L100" i="17"/>
  <c r="L88" i="17" l="1"/>
  <c r="I61" i="1"/>
  <c r="I83" i="29"/>
  <c r="J61" i="1"/>
  <c r="J83" i="29"/>
  <c r="E88" i="29"/>
  <c r="E50" i="29"/>
  <c r="E51" i="29" s="1"/>
  <c r="E53" i="29" s="1"/>
  <c r="E81" i="29" s="1"/>
  <c r="I59" i="1"/>
  <c r="I89" i="29"/>
  <c r="I60" i="1" s="1"/>
  <c r="J59" i="1"/>
  <c r="J89" i="29"/>
  <c r="J60" i="1" s="1"/>
  <c r="D88" i="29"/>
  <c r="D50" i="29"/>
  <c r="D51" i="29" s="1"/>
  <c r="D53" i="29" s="1"/>
  <c r="D81" i="29" s="1"/>
  <c r="G88" i="29"/>
  <c r="G50" i="29"/>
  <c r="G51" i="29" s="1"/>
  <c r="G53" i="29" s="1"/>
  <c r="G81" i="29" s="1"/>
  <c r="L90" i="17"/>
  <c r="I62" i="1" l="1"/>
  <c r="I41" i="1" s="1"/>
  <c r="G83" i="29"/>
  <c r="G61" i="1"/>
  <c r="J22" i="1"/>
  <c r="G59" i="1"/>
  <c r="G89" i="29"/>
  <c r="G60" i="1" s="1"/>
  <c r="I22" i="1"/>
  <c r="F88" i="29"/>
  <c r="F50" i="29"/>
  <c r="F51" i="29" s="1"/>
  <c r="F53" i="29" s="1"/>
  <c r="F81" i="29" s="1"/>
  <c r="H88" i="29"/>
  <c r="H50" i="29"/>
  <c r="H51" i="29" s="1"/>
  <c r="H53" i="29" s="1"/>
  <c r="H81" i="29" s="1"/>
  <c r="J21" i="1"/>
  <c r="J40" i="1"/>
  <c r="E83" i="29"/>
  <c r="E61" i="1"/>
  <c r="D83" i="29"/>
  <c r="D61" i="1"/>
  <c r="E59" i="1"/>
  <c r="E89" i="29"/>
  <c r="E60" i="1" s="1"/>
  <c r="D59" i="1"/>
  <c r="D89" i="29"/>
  <c r="D60" i="1" s="1"/>
  <c r="I40" i="1"/>
  <c r="I21" i="1"/>
  <c r="J62" i="1"/>
  <c r="J41" i="1" s="1"/>
  <c r="E62" i="1" l="1"/>
  <c r="E41" i="1" s="1"/>
  <c r="F83" i="29"/>
  <c r="F61" i="1"/>
  <c r="M22" i="1" s="1"/>
  <c r="F59" i="1"/>
  <c r="M59" i="1" s="1"/>
  <c r="F89" i="29"/>
  <c r="F60" i="1" s="1"/>
  <c r="D40" i="1"/>
  <c r="D62" i="1"/>
  <c r="D41" i="1" s="1"/>
  <c r="D21" i="1"/>
  <c r="H61" i="1"/>
  <c r="H83" i="29"/>
  <c r="H59" i="1"/>
  <c r="H89" i="29"/>
  <c r="H60" i="1" s="1"/>
  <c r="G22" i="1"/>
  <c r="E21" i="1"/>
  <c r="E40" i="1"/>
  <c r="D22" i="1"/>
  <c r="E22" i="1"/>
  <c r="G21" i="1"/>
  <c r="G40" i="1"/>
  <c r="G62" i="1"/>
  <c r="G41" i="1" s="1"/>
  <c r="K44" i="27"/>
  <c r="K48" i="27" s="1"/>
  <c r="K54" i="27" s="1"/>
  <c r="K30" i="17"/>
  <c r="M61" i="1" l="1"/>
  <c r="M60" i="1"/>
  <c r="H40" i="1"/>
  <c r="H21" i="1"/>
  <c r="F22" i="1"/>
  <c r="H22" i="1"/>
  <c r="F62" i="1"/>
  <c r="F41" i="1" s="1"/>
  <c r="M21" i="1"/>
  <c r="F21" i="1"/>
  <c r="F40" i="1"/>
  <c r="M40" i="1"/>
  <c r="M41" i="1"/>
  <c r="H62" i="1"/>
  <c r="H41" i="1" s="1"/>
  <c r="K98" i="17"/>
  <c r="K107" i="17"/>
  <c r="K39" i="17"/>
  <c r="K57" i="27"/>
  <c r="K61" i="27" s="1"/>
  <c r="K55" i="27"/>
  <c r="M62" i="1" l="1"/>
  <c r="K65" i="17"/>
  <c r="K43" i="17"/>
  <c r="K62" i="27"/>
  <c r="K66" i="1" s="1"/>
  <c r="K64" i="27"/>
  <c r="K47" i="29"/>
  <c r="K59" i="27"/>
  <c r="M98" i="17"/>
  <c r="K63" i="17" l="1"/>
  <c r="K66" i="17" s="1"/>
  <c r="K67" i="17" s="1"/>
  <c r="K66" i="27"/>
  <c r="K29" i="1"/>
  <c r="K37" i="1"/>
  <c r="K38" i="1"/>
  <c r="K32" i="1"/>
  <c r="K33" i="1"/>
  <c r="K31" i="1"/>
  <c r="K34" i="1"/>
  <c r="K36" i="1"/>
  <c r="K35" i="1"/>
  <c r="N33" i="1"/>
  <c r="N32" i="1"/>
  <c r="N29" i="1"/>
  <c r="N35" i="1"/>
  <c r="N31" i="1"/>
  <c r="N38" i="1"/>
  <c r="N34" i="1"/>
  <c r="N37" i="1"/>
  <c r="N36" i="1"/>
  <c r="K86" i="17"/>
  <c r="M43" i="17"/>
  <c r="K69" i="17" l="1"/>
  <c r="M69" i="17" s="1"/>
  <c r="M86" i="17"/>
  <c r="K70" i="17"/>
  <c r="M70" i="17" s="1"/>
  <c r="K108" i="17"/>
  <c r="K109" i="17" s="1"/>
  <c r="K110" i="17" s="1"/>
  <c r="K100" i="17" s="1"/>
  <c r="K86" i="29" l="1"/>
  <c r="M100" i="17"/>
  <c r="K102" i="17"/>
  <c r="M102" i="17" s="1"/>
  <c r="K88" i="17"/>
  <c r="M88" i="17" l="1"/>
  <c r="K90" i="17"/>
  <c r="K88" i="29" l="1"/>
  <c r="K50" i="29"/>
  <c r="K51" i="29" s="1"/>
  <c r="K53" i="29" s="1"/>
  <c r="K81" i="29" s="1"/>
  <c r="M90" i="17"/>
  <c r="K89" i="29" l="1"/>
  <c r="K60" i="1" s="1"/>
  <c r="N60" i="1" s="1"/>
  <c r="K59" i="1"/>
  <c r="K61" i="1"/>
  <c r="K83" i="29"/>
  <c r="K62" i="1" s="1"/>
  <c r="N62" i="1" s="1"/>
  <c r="K33" i="17"/>
  <c r="K40" i="1" l="1"/>
  <c r="K22" i="1"/>
  <c r="N61" i="1"/>
  <c r="N22" i="1"/>
  <c r="K41" i="1"/>
  <c r="N41" i="1"/>
  <c r="K21" i="1"/>
  <c r="N21" i="1"/>
  <c r="N40" i="1"/>
  <c r="N59" i="1"/>
  <c r="K14" i="2" l="1"/>
  <c r="K91" i="2"/>
  <c r="J14" i="2"/>
  <c r="J91" i="2"/>
  <c r="J92" i="2" s="1"/>
  <c r="K90" i="2"/>
  <c r="K81" i="15" s="1"/>
  <c r="J96" i="2" l="1"/>
  <c r="J112" i="2" s="1"/>
  <c r="J97" i="2"/>
  <c r="J113" i="2" s="1"/>
  <c r="J148" i="2" s="1"/>
  <c r="J18" i="2"/>
  <c r="J34" i="2" s="1"/>
  <c r="J19" i="2"/>
  <c r="J35" i="2" s="1"/>
  <c r="K92" i="2"/>
  <c r="K19" i="2"/>
  <c r="K35" i="2" s="1"/>
  <c r="K18" i="2"/>
  <c r="K34" i="2" s="1"/>
  <c r="B105" i="2"/>
  <c r="B104" i="2"/>
  <c r="B103" i="2"/>
  <c r="B102" i="2"/>
  <c r="B101" i="2"/>
  <c r="B100" i="2"/>
  <c r="I105" i="2"/>
  <c r="H105" i="2"/>
  <c r="G105" i="2"/>
  <c r="F105" i="2"/>
  <c r="E105" i="2"/>
  <c r="I104" i="2"/>
  <c r="H104" i="2"/>
  <c r="G104" i="2"/>
  <c r="F104" i="2"/>
  <c r="E104" i="2"/>
  <c r="I103" i="2"/>
  <c r="H103" i="2"/>
  <c r="G103" i="2"/>
  <c r="F103" i="2"/>
  <c r="E103" i="2"/>
  <c r="I102" i="2"/>
  <c r="H102" i="2"/>
  <c r="G102" i="2"/>
  <c r="F102" i="2"/>
  <c r="E102" i="2"/>
  <c r="I101" i="2"/>
  <c r="H101" i="2"/>
  <c r="G101" i="2"/>
  <c r="F101" i="2"/>
  <c r="E101" i="2"/>
  <c r="I90" i="2"/>
  <c r="I81" i="15" s="1"/>
  <c r="H90" i="2"/>
  <c r="H81" i="15" s="1"/>
  <c r="G90" i="2"/>
  <c r="G81" i="15" s="1"/>
  <c r="F90" i="2"/>
  <c r="F81" i="15" s="1"/>
  <c r="E90" i="2"/>
  <c r="E81" i="15" s="1"/>
  <c r="D46" i="15" l="1"/>
  <c r="D78" i="15"/>
  <c r="I18" i="15"/>
  <c r="I23" i="15" s="1"/>
  <c r="E46" i="15"/>
  <c r="E78" i="15"/>
  <c r="F78" i="15"/>
  <c r="F46" i="15"/>
  <c r="G78" i="15"/>
  <c r="D18" i="15"/>
  <c r="D23" i="15" s="1"/>
  <c r="D48" i="15" s="1"/>
  <c r="G46" i="15"/>
  <c r="J70" i="2"/>
  <c r="J49" i="1"/>
  <c r="J69" i="2"/>
  <c r="J36" i="2"/>
  <c r="K36" i="2"/>
  <c r="K69" i="2"/>
  <c r="J114" i="2"/>
  <c r="J147" i="2"/>
  <c r="J149" i="2" s="1"/>
  <c r="K70" i="2"/>
  <c r="K49" i="1"/>
  <c r="K96" i="2"/>
  <c r="K112" i="2" s="1"/>
  <c r="K97" i="2"/>
  <c r="K113" i="2" s="1"/>
  <c r="K148" i="2" s="1"/>
  <c r="H18" i="15"/>
  <c r="H23" i="15" s="1"/>
  <c r="D90" i="2"/>
  <c r="L12" i="2"/>
  <c r="M12" i="2"/>
  <c r="F91" i="2"/>
  <c r="F92" i="2" s="1"/>
  <c r="F14" i="2"/>
  <c r="H28" i="2"/>
  <c r="H100" i="2"/>
  <c r="H106" i="2" s="1"/>
  <c r="M24" i="2"/>
  <c r="L24" i="2"/>
  <c r="D102" i="2"/>
  <c r="G14" i="2"/>
  <c r="G91" i="2"/>
  <c r="G92" i="2" s="1"/>
  <c r="I28" i="2"/>
  <c r="I100" i="2"/>
  <c r="I106" i="2" s="1"/>
  <c r="H91" i="2"/>
  <c r="H92" i="2" s="1"/>
  <c r="H14" i="2"/>
  <c r="M23" i="2"/>
  <c r="D101" i="2"/>
  <c r="L23" i="2"/>
  <c r="M27" i="2"/>
  <c r="D105" i="2"/>
  <c r="L27" i="2"/>
  <c r="I14" i="2"/>
  <c r="I91" i="2"/>
  <c r="I92" i="2" s="1"/>
  <c r="D28" i="2"/>
  <c r="D100" i="2"/>
  <c r="M22" i="2"/>
  <c r="L22" i="2"/>
  <c r="D104" i="2"/>
  <c r="M26" i="2"/>
  <c r="L26" i="2"/>
  <c r="E18" i="15"/>
  <c r="E23" i="15" s="1"/>
  <c r="E48" i="15" s="1"/>
  <c r="E28" i="2"/>
  <c r="E100" i="2"/>
  <c r="E106" i="2" s="1"/>
  <c r="F18" i="15"/>
  <c r="F23" i="15" s="1"/>
  <c r="H46" i="15"/>
  <c r="H78" i="15"/>
  <c r="D14" i="2"/>
  <c r="D91" i="2"/>
  <c r="L13" i="2"/>
  <c r="M13" i="2"/>
  <c r="M14" i="2" s="1"/>
  <c r="F28" i="2"/>
  <c r="F100" i="2"/>
  <c r="F106" i="2" s="1"/>
  <c r="D103" i="2"/>
  <c r="L25" i="2"/>
  <c r="M25" i="2"/>
  <c r="G18" i="15"/>
  <c r="G23" i="15" s="1"/>
  <c r="I46" i="15"/>
  <c r="I78" i="15"/>
  <c r="E14" i="2"/>
  <c r="E91" i="2"/>
  <c r="E92" i="2" s="1"/>
  <c r="G28" i="2"/>
  <c r="G100" i="2"/>
  <c r="G106" i="2" s="1"/>
  <c r="I48" i="15" l="1"/>
  <c r="J71" i="2"/>
  <c r="K71" i="2"/>
  <c r="H48" i="15"/>
  <c r="F48" i="15"/>
  <c r="F50" i="15" s="1"/>
  <c r="G48" i="15"/>
  <c r="G80" i="15" s="1"/>
  <c r="G82" i="15" s="1"/>
  <c r="K114" i="2"/>
  <c r="K147" i="2"/>
  <c r="K149" i="2" s="1"/>
  <c r="K58" i="1"/>
  <c r="K63" i="1" s="1"/>
  <c r="K11" i="1"/>
  <c r="K20" i="1" s="1"/>
  <c r="K23" i="1" s="1"/>
  <c r="K30" i="1"/>
  <c r="K39" i="1" s="1"/>
  <c r="K42" i="1" s="1"/>
  <c r="J11" i="1"/>
  <c r="J20" i="1" s="1"/>
  <c r="J23" i="1" s="1"/>
  <c r="J58" i="1"/>
  <c r="J63" i="1" s="1"/>
  <c r="J30" i="1"/>
  <c r="J39" i="1" s="1"/>
  <c r="J42" i="1" s="1"/>
  <c r="L14" i="2"/>
  <c r="E80" i="15"/>
  <c r="E82" i="15" s="1"/>
  <c r="E50" i="15"/>
  <c r="G31" i="2"/>
  <c r="G30" i="2"/>
  <c r="L103" i="2"/>
  <c r="M103" i="2"/>
  <c r="H80" i="15"/>
  <c r="H82" i="15" s="1"/>
  <c r="H50" i="15"/>
  <c r="D80" i="15"/>
  <c r="D82" i="15" s="1"/>
  <c r="D50" i="15"/>
  <c r="H109" i="2"/>
  <c r="H108" i="2"/>
  <c r="E96" i="2"/>
  <c r="E97" i="2"/>
  <c r="F108" i="2"/>
  <c r="F109" i="2"/>
  <c r="L105" i="2"/>
  <c r="M105" i="2"/>
  <c r="I108" i="2"/>
  <c r="I109" i="2"/>
  <c r="H31" i="2"/>
  <c r="H30" i="2"/>
  <c r="E19" i="2"/>
  <c r="E18" i="2"/>
  <c r="F30" i="2"/>
  <c r="F31" i="2"/>
  <c r="E109" i="2"/>
  <c r="E108" i="2"/>
  <c r="L100" i="2"/>
  <c r="M100" i="2"/>
  <c r="D106" i="2"/>
  <c r="I30" i="2"/>
  <c r="I31" i="2"/>
  <c r="F18" i="2"/>
  <c r="F19" i="2"/>
  <c r="E30" i="2"/>
  <c r="E31" i="2"/>
  <c r="L28" i="2"/>
  <c r="D30" i="2"/>
  <c r="D31" i="2"/>
  <c r="M28" i="2"/>
  <c r="G97" i="2"/>
  <c r="G96" i="2"/>
  <c r="F96" i="2"/>
  <c r="F97" i="2"/>
  <c r="I80" i="15"/>
  <c r="I82" i="15" s="1"/>
  <c r="I50" i="15"/>
  <c r="M101" i="2"/>
  <c r="L101" i="2"/>
  <c r="G18" i="2"/>
  <c r="G19" i="2"/>
  <c r="G35" i="2" s="1"/>
  <c r="M91" i="2"/>
  <c r="L91" i="2"/>
  <c r="D92" i="2"/>
  <c r="I97" i="2"/>
  <c r="I96" i="2"/>
  <c r="M102" i="2"/>
  <c r="L102" i="2"/>
  <c r="D19" i="2"/>
  <c r="D18" i="2"/>
  <c r="I18" i="2"/>
  <c r="I19" i="2"/>
  <c r="H19" i="2"/>
  <c r="H18" i="2"/>
  <c r="H34" i="2" s="1"/>
  <c r="D81" i="15"/>
  <c r="L90" i="2"/>
  <c r="M90" i="2"/>
  <c r="G109" i="2"/>
  <c r="G108" i="2"/>
  <c r="L104" i="2"/>
  <c r="M104" i="2"/>
  <c r="H96" i="2"/>
  <c r="H97" i="2"/>
  <c r="H113" i="2" s="1"/>
  <c r="H148" i="2" s="1"/>
  <c r="G50" i="15" l="1"/>
  <c r="F80" i="15"/>
  <c r="F82" i="15" s="1"/>
  <c r="H35" i="2"/>
  <c r="H49" i="1" s="1"/>
  <c r="I34" i="2"/>
  <c r="F113" i="2"/>
  <c r="F148" i="2" s="1"/>
  <c r="H112" i="2"/>
  <c r="H114" i="2" s="1"/>
  <c r="G34" i="2"/>
  <c r="G69" i="2" s="1"/>
  <c r="I113" i="2"/>
  <c r="I148" i="2" s="1"/>
  <c r="E113" i="2"/>
  <c r="E148" i="2" s="1"/>
  <c r="F112" i="2"/>
  <c r="I112" i="2"/>
  <c r="M18" i="2"/>
  <c r="D34" i="2"/>
  <c r="L18" i="2"/>
  <c r="M92" i="2"/>
  <c r="D35" i="2"/>
  <c r="M19" i="2"/>
  <c r="L19" i="2"/>
  <c r="E112" i="2"/>
  <c r="G70" i="2"/>
  <c r="G49" i="1"/>
  <c r="G112" i="2"/>
  <c r="F35" i="2"/>
  <c r="H147" i="2"/>
  <c r="H149" i="2" s="1"/>
  <c r="H69" i="2"/>
  <c r="H36" i="2"/>
  <c r="G113" i="2"/>
  <c r="G148" i="2" s="1"/>
  <c r="F34" i="2"/>
  <c r="I35" i="2"/>
  <c r="D96" i="2"/>
  <c r="D97" i="2"/>
  <c r="M31" i="2"/>
  <c r="L31" i="2"/>
  <c r="E34" i="2"/>
  <c r="I69" i="2"/>
  <c r="L92" i="2"/>
  <c r="L30" i="2"/>
  <c r="M30" i="2"/>
  <c r="D109" i="2"/>
  <c r="M106" i="2"/>
  <c r="L106" i="2"/>
  <c r="D108" i="2"/>
  <c r="E35" i="2"/>
  <c r="F114" i="2" l="1"/>
  <c r="H70" i="2"/>
  <c r="I114" i="2"/>
  <c r="I147" i="2"/>
  <c r="I149" i="2" s="1"/>
  <c r="G36" i="2"/>
  <c r="F147" i="2"/>
  <c r="F149" i="2" s="1"/>
  <c r="G71" i="2"/>
  <c r="E36" i="2"/>
  <c r="E69" i="2"/>
  <c r="F69" i="2"/>
  <c r="F36" i="2"/>
  <c r="L109" i="2"/>
  <c r="M109" i="2"/>
  <c r="F49" i="1"/>
  <c r="F70" i="2"/>
  <c r="L97" i="2"/>
  <c r="M97" i="2"/>
  <c r="D113" i="2"/>
  <c r="G147" i="2"/>
  <c r="G149" i="2" s="1"/>
  <c r="G114" i="2"/>
  <c r="M35" i="2"/>
  <c r="D70" i="2"/>
  <c r="D49" i="1"/>
  <c r="L35" i="2"/>
  <c r="D112" i="2"/>
  <c r="L96" i="2"/>
  <c r="M96" i="2"/>
  <c r="G58" i="1"/>
  <c r="G63" i="1" s="1"/>
  <c r="G11" i="1"/>
  <c r="G20" i="1" s="1"/>
  <c r="G23" i="1" s="1"/>
  <c r="G30" i="1"/>
  <c r="G39" i="1" s="1"/>
  <c r="G42" i="1" s="1"/>
  <c r="I70" i="2"/>
  <c r="I71" i="2" s="1"/>
  <c r="I49" i="1"/>
  <c r="E70" i="2"/>
  <c r="E49" i="1"/>
  <c r="I36" i="2"/>
  <c r="E147" i="2"/>
  <c r="E149" i="2" s="1"/>
  <c r="E114" i="2"/>
  <c r="D69" i="2"/>
  <c r="D36" i="2"/>
  <c r="M34" i="2"/>
  <c r="L34" i="2"/>
  <c r="L108" i="2"/>
  <c r="M108" i="2"/>
  <c r="H11" i="1"/>
  <c r="H20" i="1" s="1"/>
  <c r="H23" i="1" s="1"/>
  <c r="H58" i="1"/>
  <c r="H63" i="1" s="1"/>
  <c r="H30" i="1"/>
  <c r="H39" i="1" s="1"/>
  <c r="H42" i="1" s="1"/>
  <c r="H71" i="2"/>
  <c r="F71" i="2" l="1"/>
  <c r="L69" i="2"/>
  <c r="D71" i="2"/>
  <c r="M69" i="2"/>
  <c r="M70" i="2"/>
  <c r="L70" i="2"/>
  <c r="F58" i="1"/>
  <c r="F63" i="1" s="1"/>
  <c r="F11" i="1"/>
  <c r="F20" i="1" s="1"/>
  <c r="F23" i="1" s="1"/>
  <c r="F30" i="1"/>
  <c r="F39" i="1" s="1"/>
  <c r="F42" i="1" s="1"/>
  <c r="E58" i="1"/>
  <c r="E63" i="1" s="1"/>
  <c r="E30" i="1"/>
  <c r="E39" i="1" s="1"/>
  <c r="E42" i="1" s="1"/>
  <c r="E11" i="1"/>
  <c r="E20" i="1" s="1"/>
  <c r="E23" i="1" s="1"/>
  <c r="M113" i="2"/>
  <c r="L113" i="2"/>
  <c r="D148" i="2"/>
  <c r="D147" i="2"/>
  <c r="D114" i="2"/>
  <c r="L112" i="2"/>
  <c r="M112" i="2"/>
  <c r="I11" i="1"/>
  <c r="I20" i="1" s="1"/>
  <c r="I23" i="1" s="1"/>
  <c r="I58" i="1"/>
  <c r="I63" i="1" s="1"/>
  <c r="I30" i="1"/>
  <c r="I39" i="1" s="1"/>
  <c r="I42" i="1" s="1"/>
  <c r="E71" i="2"/>
  <c r="L36" i="2"/>
  <c r="M36" i="2"/>
  <c r="N11" i="1"/>
  <c r="M30" i="1"/>
  <c r="M39" i="1" s="1"/>
  <c r="M42" i="1" s="1"/>
  <c r="D30" i="1"/>
  <c r="D39" i="1" s="1"/>
  <c r="D42" i="1" s="1"/>
  <c r="N49" i="1"/>
  <c r="N58" i="1" s="1"/>
  <c r="N63" i="1" s="1"/>
  <c r="N30" i="1"/>
  <c r="D11" i="1"/>
  <c r="D20" i="1" s="1"/>
  <c r="D23" i="1" s="1"/>
  <c r="M49" i="1"/>
  <c r="M58" i="1" s="1"/>
  <c r="M63" i="1" s="1"/>
  <c r="D58" i="1"/>
  <c r="D63" i="1" s="1"/>
  <c r="M11" i="1"/>
  <c r="M20" i="1" s="1"/>
  <c r="M23" i="1" s="1"/>
  <c r="N39" i="1" l="1"/>
  <c r="N20" i="1"/>
  <c r="L114" i="2"/>
  <c r="M114" i="2"/>
  <c r="M147" i="2"/>
  <c r="L147" i="2"/>
  <c r="D149" i="2"/>
  <c r="L148" i="2"/>
  <c r="M148" i="2"/>
  <c r="M71" i="2"/>
  <c r="L71" i="2"/>
  <c r="N23" i="1" l="1"/>
  <c r="N42" i="1"/>
  <c r="L149" i="2"/>
  <c r="M149" i="2"/>
</calcChain>
</file>

<file path=xl/sharedStrings.xml><?xml version="1.0" encoding="utf-8"?>
<sst xmlns="http://schemas.openxmlformats.org/spreadsheetml/2006/main" count="1447" uniqueCount="639">
  <si>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</si>
  <si>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</si>
  <si>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</si>
  <si>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</si>
  <si>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</si>
  <si>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</si>
  <si>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</si>
  <si>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</si>
  <si>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</si>
  <si>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</si>
  <si>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</si>
  <si>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</si>
  <si>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</si>
  <si>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</si>
  <si>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</si>
  <si>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</si>
  <si>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</si>
  <si>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</si>
  <si>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</si>
  <si>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</si>
  <si>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</si>
  <si>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</si>
  <si>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</si>
  <si>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</si>
  <si>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</si>
  <si>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</si>
  <si>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</si>
  <si>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</si>
  <si>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</si>
  <si>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</si>
  <si>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</si>
  <si>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</si>
  <si>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</si>
  <si>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</si>
  <si>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</si>
  <si>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</si>
  <si>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</si>
  <si>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</si>
  <si>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</si>
  <si>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</si>
  <si>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</si>
  <si>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</si>
  <si>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</si>
  <si>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</si>
  <si>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</si>
  <si>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</si>
  <si>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</si>
  <si>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</si>
  <si>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</si>
  <si>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</si>
  <si>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</si>
  <si>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</si>
  <si>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</si>
  <si>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</si>
  <si>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</si>
  <si>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</si>
  <si>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</si>
  <si>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</si>
  <si>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</si>
  <si>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</si>
  <si>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</si>
  <si>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</si>
  <si>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</si>
  <si>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</si>
  <si>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</si>
  <si>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</si>
  <si>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</si>
  <si>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</si>
  <si>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</si>
  <si>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</si>
  <si>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</si>
  <si>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</si>
  <si>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</si>
  <si>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</si>
  <si>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</si>
  <si>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</si>
  <si>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</si>
  <si>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</si>
  <si>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</si>
  <si>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</si>
  <si>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</si>
  <si>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</si>
  <si>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</si>
  <si>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</si>
  <si>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</si>
  <si>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</si>
  <si>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</si>
  <si>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</si>
  <si>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</si>
  <si>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</si>
  <si>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</si>
  <si>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</si>
  <si>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</si>
  <si>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</si>
  <si>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</si>
  <si>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</si>
  <si>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</si>
  <si>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</si>
  <si>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</si>
  <si>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</si>
  <si>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</si>
  <si>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</si>
  <si>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</si>
  <si>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</si>
  <si>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</si>
  <si>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</si>
  <si>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</si>
  <si>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</si>
  <si>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</si>
  <si>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</si>
  <si>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</si>
  <si>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</si>
  <si>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</si>
  <si>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</si>
  <si>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</si>
  <si>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</si>
  <si>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</si>
  <si>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</si>
  <si>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</si>
  <si>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</si>
  <si>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</si>
  <si>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</si>
  <si>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</si>
  <si>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</si>
  <si>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</si>
  <si>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</si>
  <si>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</si>
  <si>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</si>
  <si>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</si>
  <si>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</si>
  <si>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</si>
  <si>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</si>
  <si>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</si>
  <si>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</si>
  <si>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</si>
  <si>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</si>
  <si>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</si>
  <si>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</si>
  <si>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</si>
  <si>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</si>
  <si>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</si>
  <si>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</si>
  <si>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</si>
  <si>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</si>
  <si>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</si>
  <si>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</si>
  <si>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</si>
  <si>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</si>
  <si>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</si>
  <si>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</si>
  <si>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</si>
  <si>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</si>
  <si>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</si>
  <si>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</si>
  <si>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</si>
  <si>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</si>
  <si>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</si>
  <si>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</si>
  <si>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</si>
  <si>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</si>
  <si>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</si>
  <si>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</si>
  <si>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</si>
  <si>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</si>
  <si>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</si>
  <si>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</si>
  <si>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</si>
  <si>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</si>
  <si>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</si>
  <si>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</si>
  <si>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</si>
  <si>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</si>
  <si>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</si>
  <si>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</si>
  <si>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</si>
  <si>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</si>
  <si>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</si>
  <si>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</si>
  <si>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</si>
  <si>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</si>
  <si>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</si>
  <si>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</si>
  <si>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</si>
  <si>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</si>
  <si>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</si>
  <si>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</si>
  <si>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</si>
  <si>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</si>
  <si>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</si>
  <si>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</si>
  <si>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</si>
  <si>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</si>
  <si>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</si>
  <si>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</si>
  <si>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</si>
  <si>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</si>
  <si>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</si>
  <si>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</si>
  <si>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</si>
  <si>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</si>
  <si>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</si>
  <si>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</si>
  <si>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</si>
  <si>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</si>
  <si>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</si>
  <si>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</si>
  <si>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</si>
  <si>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</si>
  <si>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</si>
  <si>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</si>
  <si>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</si>
  <si>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</si>
  <si>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</si>
  <si>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</si>
  <si>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</si>
  <si>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</si>
  <si>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</si>
  <si>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</si>
  <si>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</si>
  <si>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</si>
  <si>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</si>
  <si>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</si>
  <si>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</si>
  <si>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</si>
  <si>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</si>
  <si>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</si>
  <si>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</si>
  <si>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</si>
  <si>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</si>
  <si>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</si>
  <si>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</si>
  <si>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</si>
  <si>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</si>
  <si>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</si>
  <si>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</si>
  <si>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</si>
  <si>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</si>
  <si>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</si>
  <si>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</si>
  <si>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</si>
  <si>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</si>
  <si>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</si>
  <si>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</si>
  <si>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</si>
  <si>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</si>
  <si>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</si>
  <si>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</si>
  <si>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</si>
  <si>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</si>
  <si>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</si>
  <si>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</si>
  <si>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</si>
  <si>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</si>
  <si>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</si>
  <si>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</si>
  <si>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</si>
  <si>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</si>
  <si>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</si>
  <si>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</si>
  <si>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</si>
  <si>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</si>
  <si>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</si>
  <si>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</si>
  <si>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</si>
  <si>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</si>
  <si>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</si>
  <si>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</si>
  <si>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</si>
  <si>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</si>
  <si>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</si>
  <si>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</si>
  <si>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</si>
  <si>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</si>
  <si>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</si>
  <si>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</si>
  <si>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</si>
  <si>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</si>
  <si>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</si>
  <si>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</si>
  <si>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</si>
  <si>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</si>
  <si>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</si>
  <si>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</si>
  <si>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</si>
  <si>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</si>
  <si>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</si>
  <si>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</si>
  <si>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</si>
  <si>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</si>
  <si>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</si>
  <si>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</si>
  <si>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</si>
  <si>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</si>
  <si>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</si>
  <si>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</si>
  <si>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</si>
  <si>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</si>
  <si>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</si>
  <si>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</si>
  <si>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</si>
  <si>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</si>
  <si>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</si>
  <si>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</si>
  <si>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</si>
  <si>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</si>
  <si>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</si>
  <si>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</si>
  <si>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</si>
  <si>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</si>
  <si>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</si>
  <si>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</si>
  <si>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</si>
  <si>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</si>
  <si>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</si>
  <si>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</si>
  <si>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</si>
  <si>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</si>
  <si>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</si>
  <si>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</si>
  <si>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</si>
  <si>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</si>
  <si>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</si>
  <si>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</si>
  <si>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</si>
  <si>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</si>
  <si>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</si>
  <si>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</si>
  <si>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</si>
  <si>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</si>
  <si>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</si>
  <si>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</si>
  <si>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</si>
  <si>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</si>
  <si>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</si>
  <si>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</si>
  <si>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</si>
  <si>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</si>
  <si>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</si>
  <si>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</si>
  <si>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</si>
  <si>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</si>
  <si>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</si>
  <si>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</si>
  <si>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</si>
  <si>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</si>
  <si>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</si>
  <si>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</si>
  <si>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</si>
  <si>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</si>
  <si>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</si>
  <si>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</si>
  <si>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</si>
  <si>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</si>
  <si>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</si>
  <si>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</si>
  <si>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</si>
  <si>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</si>
  <si>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</si>
  <si>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</si>
  <si>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</si>
  <si>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</si>
  <si>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</si>
  <si>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</si>
  <si>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</si>
  <si>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</si>
  <si>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</si>
  <si>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</si>
  <si>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</si>
  <si>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</si>
  <si>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</si>
  <si>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</si>
  <si>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</si>
  <si>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</si>
  <si>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</si>
  <si>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</si>
  <si>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</si>
  <si>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</si>
  <si>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</si>
  <si>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</si>
  <si>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</si>
  <si>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</si>
  <si>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</si>
  <si>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</si>
  <si>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</si>
  <si>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</si>
  <si>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</si>
  <si>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</si>
  <si>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</si>
  <si>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</si>
  <si>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</si>
  <si>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</si>
  <si>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</si>
  <si>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</si>
  <si>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</si>
  <si>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</si>
  <si>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</si>
  <si>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</si>
  <si>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</si>
  <si>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</si>
  <si>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</si>
  <si>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</si>
  <si>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</si>
  <si>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</si>
  <si>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</si>
  <si>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</si>
  <si>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</si>
  <si>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</si>
  <si>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</si>
  <si>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</si>
  <si>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</si>
  <si>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</si>
  <si>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</si>
  <si>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</si>
  <si>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</si>
  <si>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</si>
  <si>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</si>
  <si>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</si>
  <si>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</si>
  <si>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</si>
  <si>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</si>
  <si>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</si>
  <si>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</si>
  <si>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</si>
  <si>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</si>
  <si>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</si>
  <si>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</si>
  <si>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</si>
  <si>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</si>
  <si>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</si>
  <si>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</si>
  <si>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</si>
  <si>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</si>
  <si>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</si>
  <si>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</si>
  <si>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</si>
  <si>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</si>
  <si>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</si>
  <si>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</si>
  <si>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</si>
  <si>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</si>
  <si>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</si>
  <si>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</si>
  <si>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</si>
  <si>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</si>
  <si>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</si>
  <si>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</si>
  <si>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</si>
  <si>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</si>
  <si>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</si>
  <si>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</si>
  <si>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</si>
  <si>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</si>
  <si>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</si>
  <si>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</si>
  <si>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</si>
  <si>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</si>
  <si>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</si>
  <si>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</si>
  <si>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</si>
  <si>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</si>
  <si>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</si>
  <si>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</si>
  <si>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</si>
  <si>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</si>
  <si>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</si>
  <si>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</si>
  <si>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</si>
  <si>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</si>
  <si>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</si>
  <si>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</si>
  <si>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</si>
  <si>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</si>
  <si>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</si>
  <si>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</si>
  <si>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</si>
  <si>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</si>
  <si>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</si>
  <si>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</si>
  <si>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</si>
  <si>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</si>
  <si>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</si>
  <si>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</si>
  <si>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</si>
  <si>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</si>
  <si>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</si>
  <si>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</si>
  <si>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</si>
  <si>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</si>
  <si>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</si>
  <si>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</si>
  <si>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</si>
  <si>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</si>
  <si>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</si>
  <si>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</si>
  <si>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</si>
  <si>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</si>
  <si>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</si>
  <si>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</si>
  <si>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</si>
  <si>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</si>
  <si>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</si>
  <si>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</si>
  <si>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</si>
  <si>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</si>
  <si>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</si>
  <si>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</si>
  <si>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</si>
  <si>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</si>
  <si>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</si>
  <si>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</si>
  <si>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</si>
  <si>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</si>
  <si>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</si>
  <si>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</si>
  <si>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</si>
  <si>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</si>
  <si>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</si>
  <si>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</si>
  <si>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</si>
  <si>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</si>
  <si>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</si>
  <si>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</si>
  <si>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</si>
  <si>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</si>
  <si>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</si>
  <si>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</si>
  <si>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</si>
  <si>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</si>
  <si>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</si>
  <si>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</si>
  <si>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</si>
  <si>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</si>
  <si>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</si>
  <si>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</si>
  <si>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</si>
  <si>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</si>
  <si>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</si>
  <si>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</si>
  <si>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</si>
  <si>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</si>
  <si>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</si>
  <si>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</si>
  <si>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</si>
  <si>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</si>
  <si>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</si>
  <si>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</si>
  <si>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</si>
  <si>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</si>
  <si>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</si>
  <si>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</si>
  <si>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</si>
  <si>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</si>
  <si>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</si>
  <si>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</si>
  <si>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</si>
  <si>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</si>
  <si>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</si>
  <si>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</si>
  <si>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</si>
  <si>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</si>
  <si>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</si>
  <si>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</si>
  <si>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</si>
  <si>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</si>
  <si>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</si>
  <si>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</si>
  <si>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</si>
  <si>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</si>
  <si>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</si>
  <si>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</si>
  <si>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</si>
  <si>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</si>
  <si>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</si>
  <si>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</si>
  <si>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</si>
  <si>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</si>
  <si>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</si>
  <si>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</si>
  <si>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</si>
  <si>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</si>
  <si>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SP Cashflow View</t>
  </si>
  <si>
    <t>May 2022 Publication</t>
  </si>
  <si>
    <t>[Input other adjustment]</t>
  </si>
  <si>
    <t>[Insert adjustment as necessary]</t>
  </si>
  <si>
    <t>Adjustment to taxable profit from 31 December year end to 31 March year end</t>
  </si>
  <si>
    <t>Corporation tax rate change adjustment</t>
  </si>
  <si>
    <t>Tax paid on items with no allowance</t>
  </si>
  <si>
    <t>[Insert new rows here as necessary]</t>
  </si>
  <si>
    <t>[Insert detail of fine or penalty]</t>
  </si>
  <si>
    <t>18/19</t>
  </si>
  <si>
    <t>Clawback Direction  - sums unpaid</t>
  </si>
  <si>
    <t>Connections performance standards payments adjustment</t>
  </si>
  <si>
    <t>DPCR4 residual distribution losses incentive (WPD and SSE owned licencees)</t>
  </si>
  <si>
    <t>DPCR4 residual distribution losses incentive and Growth Term (ENWL, NPg, UKPN and SP licensees)</t>
  </si>
  <si>
    <t>[Input description]</t>
  </si>
  <si>
    <t>[Input description, add additional rows as required]</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</si>
  <si>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</si>
  <si>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</si>
  <si>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</si>
  <si>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</si>
  <si>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</si>
  <si>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Roundings</t>
  </si>
  <si>
    <t>2020/21 does not inlclude Stakeholder Engagement Reward. This has not been determined by Ofgem.</t>
  </si>
  <si>
    <t>Penalty only mechanism. No penalties incurred to date.</t>
  </si>
  <si>
    <t>The losses discretionary reward scheme is only applicable in 2016/17, 2018/19 and 2020/21. No reward was achieved in 2020/21.</t>
  </si>
  <si>
    <t>Total property, plant and equipment in use</t>
  </si>
  <si>
    <t>Right of use Assets under IFRS 16</t>
  </si>
  <si>
    <t>LCNF Payments Cost &amp; Payments</t>
  </si>
  <si>
    <t>SPPS Depreciation of Non-System assets</t>
  </si>
  <si>
    <t>Other operating income in Reg Accounts</t>
  </si>
  <si>
    <t>Connections &amp; Non Trading Re-Chargeable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</si>
  <si>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</si>
  <si>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</si>
  <si>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</si>
  <si>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</si>
  <si>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</si>
  <si>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</si>
  <si>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</si>
  <si>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Indirects income</t>
  </si>
  <si>
    <t>Pass through</t>
  </si>
  <si>
    <t>Other Non Activity Based Costs</t>
  </si>
  <si>
    <t>Total Costs outside Price Control</t>
  </si>
  <si>
    <t>Related Party Margin</t>
  </si>
  <si>
    <t>NIA &amp; IFI/LCNF</t>
  </si>
  <si>
    <t>Cash proceeds from sales of assets and scrap</t>
  </si>
  <si>
    <t>Value added services (DRS 8)</t>
  </si>
  <si>
    <t>Income from theft recovery</t>
  </si>
  <si>
    <t>Timing difference and over/under performance</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</si>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</sst>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0.000%"/>
    <numFmt numFmtId="351" formatCode="_(* #,##0.000_);_(* \(#,##0.000\);_(* &quot;-&quot;??_);_(@_)"/>
    <numFmt numFmtId="352" formatCode="0.0000"/>
    <numFmt numFmtId="353"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lightUp">
        <bgColor rgb="FFFFFFCC"/>
      </patternFill>
    </fill>
    <fill>
      <patternFill patternType="lightUp">
        <bgColor rgb="FFCCFFCC"/>
      </patternFill>
    </fill>
    <fill>
      <patternFill patternType="lightUp">
        <bgColor rgb="FFCCFFFF"/>
      </patternFill>
    </fill>
  </fills>
  <borders count="140">
    <border>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theme="1"/>
      </right>
      <top style="thin">
        <color indexed="64"/>
      </top>
      <bottom style="thin">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4" applyNumberFormat="0" applyProtection="0">
      <alignment vertical="center"/>
    </xf>
    <xf numFmtId="4" fontId="12" fillId="18" borderId="4" applyNumberFormat="0" applyProtection="0">
      <alignment vertical="center"/>
    </xf>
    <xf numFmtId="4" fontId="11" fillId="18" borderId="4" applyNumberFormat="0" applyProtection="0">
      <alignment horizontal="left" vertical="center" indent="1"/>
    </xf>
    <xf numFmtId="0" fontId="11" fillId="18" borderId="4" applyNumberFormat="0" applyProtection="0">
      <alignment horizontal="left" vertical="top" indent="1"/>
    </xf>
    <xf numFmtId="4" fontId="11" fillId="19" borderId="0" applyNumberFormat="0" applyProtection="0">
      <alignment horizontal="left" vertical="center" indent="1"/>
    </xf>
    <xf numFmtId="4" fontId="13" fillId="20" borderId="4" applyNumberFormat="0" applyProtection="0">
      <alignment horizontal="right" vertical="center"/>
    </xf>
    <xf numFmtId="4" fontId="13" fillId="21" borderId="4" applyNumberFormat="0" applyProtection="0">
      <alignment horizontal="right" vertical="center"/>
    </xf>
    <xf numFmtId="4" fontId="13" fillId="22" borderId="4" applyNumberFormat="0" applyProtection="0">
      <alignment horizontal="right" vertical="center"/>
    </xf>
    <xf numFmtId="4" fontId="13" fillId="23" borderId="4" applyNumberFormat="0" applyProtection="0">
      <alignment horizontal="right" vertical="center"/>
    </xf>
    <xf numFmtId="4" fontId="13" fillId="24" borderId="4" applyNumberFormat="0" applyProtection="0">
      <alignment horizontal="right" vertical="center"/>
    </xf>
    <xf numFmtId="4" fontId="13" fillId="25" borderId="4" applyNumberFormat="0" applyProtection="0">
      <alignment horizontal="right" vertical="center"/>
    </xf>
    <xf numFmtId="4" fontId="13" fillId="26" borderId="4" applyNumberFormat="0" applyProtection="0">
      <alignment horizontal="right" vertical="center"/>
    </xf>
    <xf numFmtId="4" fontId="13" fillId="27" borderId="4" applyNumberFormat="0" applyProtection="0">
      <alignment horizontal="right" vertical="center"/>
    </xf>
    <xf numFmtId="4" fontId="13" fillId="28" borderId="4" applyNumberFormat="0" applyProtection="0">
      <alignment horizontal="right" vertical="center"/>
    </xf>
    <xf numFmtId="4" fontId="11" fillId="29" borderId="5"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4"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top" indent="1"/>
    </xf>
    <xf numFmtId="0" fontId="4" fillId="19" borderId="4" applyNumberFormat="0" applyProtection="0">
      <alignment horizontal="left" vertical="center" indent="1"/>
    </xf>
    <xf numFmtId="0" fontId="4" fillId="19" borderId="4" applyNumberFormat="0" applyProtection="0">
      <alignment horizontal="left" vertical="top" indent="1"/>
    </xf>
    <xf numFmtId="0" fontId="4" fillId="32" borderId="4" applyNumberFormat="0" applyProtection="0">
      <alignment horizontal="left" vertical="center" indent="1"/>
    </xf>
    <xf numFmtId="0" fontId="4" fillId="32" borderId="4" applyNumberFormat="0" applyProtection="0">
      <alignment horizontal="left" vertical="top" indent="1"/>
    </xf>
    <xf numFmtId="0" fontId="4" fillId="30" borderId="4" applyNumberFormat="0" applyProtection="0">
      <alignment horizontal="left" vertical="center" indent="1"/>
    </xf>
    <xf numFmtId="0" fontId="4" fillId="30" borderId="4" applyNumberFormat="0" applyProtection="0">
      <alignment horizontal="left" vertical="top" indent="1"/>
    </xf>
    <xf numFmtId="0" fontId="4" fillId="33" borderId="2" applyNumberFormat="0">
      <protection locked="0"/>
    </xf>
    <xf numFmtId="4" fontId="13" fillId="34" borderId="4" applyNumberFormat="0" applyProtection="0">
      <alignment vertical="center"/>
    </xf>
    <xf numFmtId="4" fontId="15" fillId="34" borderId="4" applyNumberFormat="0" applyProtection="0">
      <alignment vertical="center"/>
    </xf>
    <xf numFmtId="4" fontId="13" fillId="34" borderId="4" applyNumberFormat="0" applyProtection="0">
      <alignment horizontal="left" vertical="center" indent="1"/>
    </xf>
    <xf numFmtId="0" fontId="13" fillId="34" borderId="4" applyNumberFormat="0" applyProtection="0">
      <alignment horizontal="left" vertical="top" indent="1"/>
    </xf>
    <xf numFmtId="4" fontId="13" fillId="30" borderId="4" applyNumberFormat="0" applyProtection="0">
      <alignment horizontal="right" vertical="center"/>
    </xf>
    <xf numFmtId="4" fontId="15" fillId="30" borderId="4" applyNumberFormat="0" applyProtection="0">
      <alignment horizontal="right" vertical="center"/>
    </xf>
    <xf numFmtId="4" fontId="13" fillId="19" borderId="4" applyNumberFormat="0" applyProtection="0">
      <alignment horizontal="left" vertical="center" indent="1"/>
    </xf>
    <xf numFmtId="0" fontId="13" fillId="19" borderId="4" applyNumberFormat="0" applyProtection="0">
      <alignment horizontal="left" vertical="top" indent="1"/>
    </xf>
    <xf numFmtId="4" fontId="16" fillId="35" borderId="0" applyNumberFormat="0" applyProtection="0">
      <alignment horizontal="left" vertical="center" indent="1"/>
    </xf>
    <xf numFmtId="4" fontId="17" fillId="30" borderId="4"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7"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7">
      <alignment vertical="center"/>
      <protection locked="0"/>
    </xf>
    <xf numFmtId="167" fontId="2" fillId="43" borderId="7">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7">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1">
      <alignment horizontal="centerContinuous"/>
    </xf>
    <xf numFmtId="219" fontId="59" fillId="40" borderId="14">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8" applyNumberFormat="0" applyBorder="0" applyAlignment="0">
      <alignment horizontal="centerContinuous" vertical="center"/>
      <protection hidden="1"/>
    </xf>
    <xf numFmtId="1" fontId="69" fillId="76" borderId="12"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3"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1"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5"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0"/>
    <xf numFmtId="230" fontId="38" fillId="0" borderId="10"/>
    <xf numFmtId="230" fontId="38" fillId="0" borderId="10"/>
    <xf numFmtId="231" fontId="38" fillId="0" borderId="10"/>
    <xf numFmtId="231" fontId="38" fillId="0" borderId="10"/>
    <xf numFmtId="229" fontId="38" fillId="0" borderId="10"/>
    <xf numFmtId="229" fontId="38" fillId="0" borderId="10"/>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0"/>
    <xf numFmtId="233" fontId="38" fillId="0" borderId="10"/>
    <xf numFmtId="233" fontId="38" fillId="0" borderId="10"/>
    <xf numFmtId="234" fontId="38" fillId="0" borderId="10"/>
    <xf numFmtId="234" fontId="38" fillId="0" borderId="10"/>
    <xf numFmtId="232" fontId="38" fillId="0" borderId="10"/>
    <xf numFmtId="232" fontId="38" fillId="0" borderId="10"/>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0"/>
    <xf numFmtId="238" fontId="38" fillId="0" borderId="10"/>
    <xf numFmtId="238" fontId="38" fillId="0" borderId="10"/>
    <xf numFmtId="239" fontId="38" fillId="0" borderId="10"/>
    <xf numFmtId="239" fontId="38" fillId="0" borderId="10"/>
    <xf numFmtId="237" fontId="38" fillId="0" borderId="10"/>
    <xf numFmtId="237" fontId="38" fillId="0" borderId="10"/>
    <xf numFmtId="237" fontId="38" fillId="0" borderId="0"/>
    <xf numFmtId="240" fontId="4" fillId="46" borderId="0"/>
    <xf numFmtId="180" fontId="4" fillId="0" borderId="0">
      <alignment vertical="center"/>
    </xf>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1" fillId="78" borderId="16" applyNumberFormat="0" applyAlignment="0" applyProtection="0"/>
    <xf numFmtId="0" fontId="82" fillId="61"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1" fillId="78"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0" fontId="82" fillId="61" borderId="16" applyNumberFormat="0" applyAlignment="0" applyProtection="0"/>
    <xf numFmtId="189" fontId="83" fillId="61" borderId="16" applyNumberFormat="0" applyAlignment="0" applyProtection="0"/>
    <xf numFmtId="189" fontId="83" fillId="61" borderId="16" applyNumberFormat="0" applyAlignment="0" applyProtection="0"/>
    <xf numFmtId="38" fontId="84" fillId="0" borderId="0" applyNumberFormat="0" applyFill="0" applyBorder="0" applyAlignment="0" applyProtection="0"/>
    <xf numFmtId="0" fontId="85" fillId="9" borderId="17" applyNumberFormat="0" applyAlignment="0" applyProtection="0"/>
    <xf numFmtId="0" fontId="85" fillId="79" borderId="17" applyNumberFormat="0" applyAlignment="0" applyProtection="0"/>
    <xf numFmtId="0" fontId="85" fillId="9" borderId="17" applyNumberFormat="0" applyAlignment="0" applyProtection="0"/>
    <xf numFmtId="0" fontId="85" fillId="79" borderId="17" applyNumberFormat="0" applyAlignment="0" applyProtection="0"/>
    <xf numFmtId="0" fontId="85" fillId="9" borderId="17" applyNumberFormat="0" applyAlignment="0" applyProtection="0"/>
    <xf numFmtId="0" fontId="85" fillId="9" borderId="17" applyNumberFormat="0" applyAlignment="0" applyProtection="0"/>
    <xf numFmtId="0" fontId="85" fillId="9" borderId="17" applyNumberFormat="0" applyAlignment="0" applyProtection="0"/>
    <xf numFmtId="0" fontId="85" fillId="9" borderId="17" applyNumberFormat="0" applyAlignment="0" applyProtection="0"/>
    <xf numFmtId="0" fontId="85" fillId="79" borderId="17" applyNumberFormat="0" applyAlignment="0" applyProtection="0"/>
    <xf numFmtId="0" fontId="85" fillId="9" borderId="17" applyNumberFormat="0" applyAlignment="0" applyProtection="0"/>
    <xf numFmtId="0" fontId="85" fillId="9" borderId="17" applyNumberFormat="0" applyAlignment="0" applyProtection="0"/>
    <xf numFmtId="0" fontId="85" fillId="9" borderId="17" applyNumberFormat="0" applyAlignment="0" applyProtection="0"/>
    <xf numFmtId="0" fontId="85" fillId="9" borderId="17" applyNumberFormat="0" applyAlignment="0" applyProtection="0"/>
    <xf numFmtId="0" fontId="85" fillId="79" borderId="17" applyNumberFormat="0" applyAlignment="0" applyProtection="0"/>
    <xf numFmtId="0" fontId="85" fillId="9" borderId="17" applyNumberFormat="0" applyAlignment="0" applyProtection="0"/>
    <xf numFmtId="0" fontId="85" fillId="79" borderId="17" applyNumberFormat="0" applyAlignment="0" applyProtection="0"/>
    <xf numFmtId="0" fontId="85" fillId="9" borderId="17" applyNumberFormat="0" applyAlignment="0" applyProtection="0"/>
    <xf numFmtId="0" fontId="85" fillId="79" borderId="17" applyNumberFormat="0" applyAlignment="0" applyProtection="0"/>
    <xf numFmtId="0" fontId="85" fillId="79" borderId="17" applyNumberFormat="0" applyAlignment="0" applyProtection="0"/>
    <xf numFmtId="0" fontId="85" fillId="9" borderId="17" applyNumberFormat="0" applyAlignment="0" applyProtection="0"/>
    <xf numFmtId="0" fontId="85" fillId="79" borderId="17" applyNumberFormat="0" applyAlignment="0" applyProtection="0"/>
    <xf numFmtId="0" fontId="85" fillId="79" borderId="17" applyNumberFormat="0" applyAlignment="0" applyProtection="0"/>
    <xf numFmtId="0" fontId="85" fillId="9" borderId="17" applyNumberFormat="0" applyAlignment="0" applyProtection="0"/>
    <xf numFmtId="0" fontId="85" fillId="79" borderId="17" applyNumberFormat="0" applyAlignment="0" applyProtection="0"/>
    <xf numFmtId="0" fontId="85" fillId="79" borderId="17" applyNumberFormat="0" applyAlignment="0" applyProtection="0"/>
    <xf numFmtId="0" fontId="85" fillId="79" borderId="17" applyNumberFormat="0" applyAlignment="0" applyProtection="0"/>
    <xf numFmtId="0" fontId="85" fillId="79" borderId="17" applyNumberFormat="0" applyAlignment="0" applyProtection="0"/>
    <xf numFmtId="0" fontId="85" fillId="79" borderId="17" applyNumberFormat="0" applyAlignment="0" applyProtection="0"/>
    <xf numFmtId="0" fontId="85" fillId="79" borderId="17" applyNumberFormat="0" applyAlignment="0" applyProtection="0"/>
    <xf numFmtId="189" fontId="86" fillId="79" borderId="17"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1">
      <alignment horizontal="center"/>
    </xf>
    <xf numFmtId="37" fontId="59" fillId="0" borderId="0">
      <alignment horizontal="center" vertical="center" wrapText="1"/>
    </xf>
    <xf numFmtId="1" fontId="87" fillId="0" borderId="18">
      <alignment vertical="top"/>
    </xf>
    <xf numFmtId="173" fontId="88" fillId="0" borderId="0" applyBorder="0">
      <alignment horizontal="right"/>
    </xf>
    <xf numFmtId="173" fontId="88" fillId="0" borderId="19"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3">
      <alignment horizontal="right"/>
    </xf>
    <xf numFmtId="260" fontId="36" fillId="0" borderId="0" applyFont="0" applyFill="0" applyBorder="0" applyAlignment="0" applyProtection="0"/>
    <xf numFmtId="229" fontId="38" fillId="45" borderId="20">
      <protection locked="0"/>
    </xf>
    <xf numFmtId="230" fontId="38" fillId="45" borderId="20">
      <protection locked="0"/>
    </xf>
    <xf numFmtId="231" fontId="38" fillId="45" borderId="20">
      <protection locked="0"/>
    </xf>
    <xf numFmtId="229" fontId="38" fillId="45" borderId="20">
      <protection locked="0"/>
    </xf>
    <xf numFmtId="232" fontId="38" fillId="45" borderId="20">
      <protection locked="0"/>
    </xf>
    <xf numFmtId="233" fontId="38" fillId="45" borderId="20">
      <protection locked="0"/>
    </xf>
    <xf numFmtId="234" fontId="38" fillId="45" borderId="20">
      <protection locked="0"/>
    </xf>
    <xf numFmtId="232" fontId="38" fillId="45" borderId="20">
      <protection locked="0"/>
    </xf>
    <xf numFmtId="235" fontId="38" fillId="37" borderId="20">
      <alignment horizontal="right"/>
      <protection locked="0"/>
    </xf>
    <xf numFmtId="236" fontId="38" fillId="37" borderId="20">
      <alignment horizontal="right"/>
      <protection locked="0"/>
    </xf>
    <xf numFmtId="0" fontId="38" fillId="82" borderId="20">
      <alignment horizontal="left"/>
      <protection locked="0"/>
    </xf>
    <xf numFmtId="49" fontId="38" fillId="38" borderId="20">
      <alignment horizontal="left" vertical="top" wrapText="1"/>
      <protection locked="0"/>
    </xf>
    <xf numFmtId="237" fontId="38" fillId="45" borderId="20">
      <protection locked="0"/>
    </xf>
    <xf numFmtId="238" fontId="38" fillId="45" borderId="20">
      <protection locked="0"/>
    </xf>
    <xf numFmtId="239" fontId="38" fillId="45" borderId="20">
      <protection locked="0"/>
    </xf>
    <xf numFmtId="237" fontId="38" fillId="45" borderId="20">
      <protection locked="0"/>
    </xf>
    <xf numFmtId="49" fontId="38" fillId="38" borderId="20">
      <alignment horizontal="left"/>
      <protection locked="0"/>
    </xf>
    <xf numFmtId="261" fontId="38" fillId="45" borderId="20">
      <alignment horizontal="left" indent="1"/>
      <protection locked="0"/>
    </xf>
    <xf numFmtId="262" fontId="4" fillId="45" borderId="21"/>
    <xf numFmtId="262" fontId="4" fillId="45" borderId="21"/>
    <xf numFmtId="262" fontId="4" fillId="45" borderId="21"/>
    <xf numFmtId="262" fontId="4" fillId="45" borderId="21"/>
    <xf numFmtId="262" fontId="4" fillId="45" borderId="21"/>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2" applyNumberFormat="0" applyFont="0" applyFill="0" applyAlignment="0" applyProtection="0"/>
    <xf numFmtId="210" fontId="95" fillId="0" borderId="23"/>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3" applyAlignment="0" applyProtection="0"/>
    <xf numFmtId="283" fontId="14" fillId="61" borderId="3"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0">
      <alignment horizontal="center"/>
      <protection locked="0"/>
    </xf>
    <xf numFmtId="285" fontId="101" fillId="45" borderId="20" applyAlignment="0">
      <protection locked="0"/>
    </xf>
    <xf numFmtId="286" fontId="101" fillId="45" borderId="20"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4"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0" borderId="25" applyNumberFormat="0" applyFont="0" applyAlignment="0" applyProtection="0"/>
    <xf numFmtId="0" fontId="36" fillId="0" borderId="25" applyNumberFormat="0" applyFont="0" applyAlignment="0" applyProtection="0"/>
    <xf numFmtId="0" fontId="36" fillId="0" borderId="25" applyNumberFormat="0" applyFont="0" applyAlignment="0" applyProtection="0"/>
    <xf numFmtId="0" fontId="36" fillId="0" borderId="25"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6"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7"/>
    <xf numFmtId="291" fontId="39" fillId="46" borderId="13">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3"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28"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29" applyNumberFormat="0" applyAlignment="0" applyProtection="0">
      <alignment horizontal="left" vertical="center"/>
    </xf>
    <xf numFmtId="180" fontId="73" fillId="0" borderId="30">
      <alignment horizontal="left" vertical="center"/>
    </xf>
    <xf numFmtId="2" fontId="69" fillId="76" borderId="0" applyAlignment="0">
      <alignment horizontal="right"/>
      <protection locked="0"/>
    </xf>
    <xf numFmtId="0" fontId="117" fillId="0" borderId="31" applyNumberFormat="0" applyFill="0" applyAlignment="0" applyProtection="0"/>
    <xf numFmtId="0" fontId="118" fillId="0" borderId="32"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7" fillId="0" borderId="31"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0" fontId="118" fillId="0" borderId="32" applyNumberFormat="0" applyFill="0" applyAlignment="0" applyProtection="0"/>
    <xf numFmtId="189" fontId="119" fillId="0" borderId="32"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0"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0" fontId="121" fillId="0" borderId="33" applyNumberFormat="0" applyFill="0" applyAlignment="0" applyProtection="0"/>
    <xf numFmtId="189" fontId="122" fillId="0" borderId="33"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3" fillId="0" borderId="15" applyNumberFormat="0" applyFill="0" applyAlignment="0" applyProtection="0"/>
    <xf numFmtId="0" fontId="123" fillId="0" borderId="15" applyNumberFormat="0" applyFill="0" applyAlignment="0" applyProtection="0"/>
    <xf numFmtId="0" fontId="123" fillId="0" borderId="15"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3" fillId="0" borderId="15" applyNumberFormat="0" applyFill="0" applyAlignment="0" applyProtection="0"/>
    <xf numFmtId="0" fontId="123" fillId="0" borderId="15" applyNumberFormat="0" applyFill="0" applyAlignment="0" applyProtection="0"/>
    <xf numFmtId="0" fontId="123" fillId="0" borderId="15"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3" fillId="0" borderId="15"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189" fontId="125" fillId="0" borderId="34"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5"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28" applyNumberFormat="0" applyBorder="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7" fillId="14" borderId="36" applyNumberFormat="0" applyAlignment="0" applyProtection="0"/>
    <xf numFmtId="0" fontId="138" fillId="60"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7" fillId="14"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0" fontId="138" fillId="60" borderId="36" applyNumberFormat="0" applyAlignment="0" applyProtection="0"/>
    <xf numFmtId="189" fontId="139" fillId="60" borderId="36" applyNumberFormat="0" applyAlignment="0" applyProtection="0"/>
    <xf numFmtId="189" fontId="139" fillId="60" borderId="36"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7" applyNumberFormat="0" applyFill="0" applyAlignment="0" applyProtection="0"/>
    <xf numFmtId="0" fontId="151" fillId="0" borderId="38" applyNumberFormat="0" applyFill="0" applyAlignment="0" applyProtection="0"/>
    <xf numFmtId="0" fontId="150" fillId="0" borderId="37" applyNumberFormat="0" applyFill="0" applyAlignment="0" applyProtection="0"/>
    <xf numFmtId="0" fontId="151" fillId="0" borderId="38" applyNumberFormat="0" applyFill="0" applyAlignment="0" applyProtection="0"/>
    <xf numFmtId="0" fontId="150" fillId="0" borderId="37" applyNumberFormat="0" applyFill="0" applyAlignment="0" applyProtection="0"/>
    <xf numFmtId="0" fontId="150" fillId="0" borderId="37" applyNumberFormat="0" applyFill="0" applyAlignment="0" applyProtection="0"/>
    <xf numFmtId="0" fontId="150" fillId="0" borderId="37" applyNumberFormat="0" applyFill="0" applyAlignment="0" applyProtection="0"/>
    <xf numFmtId="0" fontId="150" fillId="0" borderId="37" applyNumberFormat="0" applyFill="0" applyAlignment="0" applyProtection="0"/>
    <xf numFmtId="0" fontId="151" fillId="0" borderId="38" applyNumberFormat="0" applyFill="0" applyAlignment="0" applyProtection="0"/>
    <xf numFmtId="0" fontId="150" fillId="0" borderId="37" applyNumberFormat="0" applyFill="0" applyAlignment="0" applyProtection="0"/>
    <xf numFmtId="0" fontId="150" fillId="0" borderId="37" applyNumberFormat="0" applyFill="0" applyAlignment="0" applyProtection="0"/>
    <xf numFmtId="0" fontId="150" fillId="0" borderId="37" applyNumberFormat="0" applyFill="0" applyAlignment="0" applyProtection="0"/>
    <xf numFmtId="0" fontId="150" fillId="0" borderId="37" applyNumberFormat="0" applyFill="0" applyAlignment="0" applyProtection="0"/>
    <xf numFmtId="0" fontId="151" fillId="0" borderId="38" applyNumberFormat="0" applyFill="0" applyAlignment="0" applyProtection="0"/>
    <xf numFmtId="0" fontId="150" fillId="0" borderId="37" applyNumberFormat="0" applyFill="0" applyAlignment="0" applyProtection="0"/>
    <xf numFmtId="0" fontId="151" fillId="0" borderId="38" applyNumberFormat="0" applyFill="0" applyAlignment="0" applyProtection="0"/>
    <xf numFmtId="0" fontId="150" fillId="0" borderId="37"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0" fillId="0" borderId="37"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0" fillId="0" borderId="37"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0" fontId="151" fillId="0" borderId="38" applyNumberFormat="0" applyFill="0" applyAlignment="0" applyProtection="0"/>
    <xf numFmtId="189" fontId="152" fillId="0" borderId="38"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19"/>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1"/>
    <xf numFmtId="311" fontId="40" fillId="0" borderId="39"/>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39"/>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0"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7" fillId="34" borderId="40"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0" applyNumberFormat="0" applyFont="0" applyAlignment="0" applyProtection="0"/>
    <xf numFmtId="0" fontId="7" fillId="34" borderId="40" applyNumberFormat="0" applyFont="0" applyAlignment="0" applyProtection="0"/>
    <xf numFmtId="0" fontId="4" fillId="13" borderId="40"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0"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0" borderId="0" applyNumberFormat="0" applyFont="0" applyFill="0" applyBorder="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0" borderId="0" applyNumberFormat="0" applyFont="0" applyFill="0" applyBorder="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0" borderId="0" applyNumberFormat="0" applyFont="0" applyFill="0" applyBorder="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13" borderId="40" applyNumberFormat="0" applyFont="0" applyAlignment="0" applyProtection="0"/>
    <xf numFmtId="0" fontId="4"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0" fontId="7" fillId="34" borderId="40" applyNumberFormat="0" applyFont="0" applyAlignment="0" applyProtection="0"/>
    <xf numFmtId="189" fontId="4" fillId="34" borderId="40" applyNumberFormat="0" applyFont="0" applyAlignment="0" applyProtection="0"/>
    <xf numFmtId="189" fontId="4" fillId="34" borderId="40" applyNumberFormat="0" applyFont="0" applyAlignment="0" applyProtection="0"/>
    <xf numFmtId="0" fontId="168" fillId="83" borderId="0" applyAlignment="0" applyProtection="0">
      <alignment horizontal="left" vertical="top" wrapText="1"/>
    </xf>
    <xf numFmtId="284" fontId="4" fillId="45" borderId="41" applyFont="0" applyFill="0" applyBorder="0" applyAlignment="0" applyProtection="0">
      <protection locked="0"/>
    </xf>
    <xf numFmtId="37" fontId="4" fillId="0" borderId="0"/>
    <xf numFmtId="318" fontId="35" fillId="50" borderId="42" applyNumberFormat="0">
      <alignment vertical="center"/>
    </xf>
    <xf numFmtId="318" fontId="35" fillId="88" borderId="42" applyNumberFormat="0">
      <alignment vertical="center"/>
    </xf>
    <xf numFmtId="318" fontId="35" fillId="40" borderId="42" applyNumberFormat="0">
      <alignment vertical="center"/>
    </xf>
    <xf numFmtId="318" fontId="35" fillId="38" borderId="42" applyNumberFormat="0">
      <alignment vertical="center"/>
    </xf>
    <xf numFmtId="318" fontId="35" fillId="89" borderId="42" applyNumberFormat="0">
      <alignment vertical="center"/>
    </xf>
    <xf numFmtId="318" fontId="35" fillId="46" borderId="42" applyNumberFormat="0">
      <alignment vertical="center"/>
    </xf>
    <xf numFmtId="318" fontId="35" fillId="90" borderId="42" applyNumberFormat="0">
      <alignment vertical="center"/>
    </xf>
    <xf numFmtId="318" fontId="35" fillId="80" borderId="42" applyNumberFormat="0">
      <alignment vertical="center"/>
    </xf>
    <xf numFmtId="318" fontId="35" fillId="91" borderId="42" applyNumberFormat="0">
      <alignment vertical="center"/>
    </xf>
    <xf numFmtId="318" fontId="35" fillId="92" borderId="42" applyNumberFormat="0">
      <alignment vertical="center"/>
    </xf>
    <xf numFmtId="318" fontId="169" fillId="45" borderId="42">
      <protection locked="0"/>
    </xf>
    <xf numFmtId="318" fontId="169" fillId="37" borderId="42">
      <protection locked="0"/>
    </xf>
    <xf numFmtId="318" fontId="170" fillId="37" borderId="43"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4">
      <alignment vertical="center"/>
    </xf>
    <xf numFmtId="0" fontId="34" fillId="95" borderId="28" applyNumberFormat="0" applyFont="0" applyAlignment="0">
      <alignment vertical="center"/>
    </xf>
    <xf numFmtId="0" fontId="34" fillId="45" borderId="28" applyNumberFormat="0" applyFont="0" applyAlignment="0">
      <alignment vertical="center"/>
    </xf>
    <xf numFmtId="0" fontId="34" fillId="37" borderId="28" applyNumberFormat="0" applyFont="0" applyAlignment="0">
      <alignment vertical="center"/>
    </xf>
    <xf numFmtId="0" fontId="34" fillId="96" borderId="28"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5" applyNumberFormat="0" applyBorder="0" applyAlignment="0">
      <alignment horizontal="center"/>
      <protection hidden="1"/>
    </xf>
    <xf numFmtId="180" fontId="177" fillId="0" borderId="45" applyNumberFormat="0" applyBorder="0" applyAlignment="0">
      <alignment horizontal="center"/>
      <protection locked="0"/>
    </xf>
    <xf numFmtId="2" fontId="178" fillId="50" borderId="13">
      <alignment horizontal="left"/>
    </xf>
    <xf numFmtId="0" fontId="179" fillId="78" borderId="46"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4" fillId="0" borderId="0" applyNumberFormat="0" applyFont="0" applyFill="0" applyBorder="0" applyAlignment="0" applyProtection="0"/>
    <xf numFmtId="0" fontId="179" fillId="61"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179" fillId="78" borderId="46" applyNumberFormat="0" applyAlignment="0" applyProtection="0"/>
    <xf numFmtId="0" fontId="4" fillId="0" borderId="0" applyNumberFormat="0" applyFont="0" applyFill="0" applyBorder="0" applyAlignment="0" applyProtection="0"/>
    <xf numFmtId="0" fontId="179" fillId="78"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78" borderId="46" applyNumberFormat="0" applyAlignment="0" applyProtection="0"/>
    <xf numFmtId="0" fontId="179" fillId="61" borderId="46" applyNumberFormat="0" applyAlignment="0" applyProtection="0"/>
    <xf numFmtId="0" fontId="4" fillId="0" borderId="0" applyNumberFormat="0" applyFont="0" applyFill="0" applyBorder="0" applyAlignment="0" applyProtection="0"/>
    <xf numFmtId="0" fontId="179" fillId="61" borderId="46" applyNumberFormat="0" applyAlignment="0" applyProtection="0"/>
    <xf numFmtId="0" fontId="4" fillId="0" borderId="0" applyNumberFormat="0" applyFont="0" applyFill="0" applyBorder="0" applyAlignment="0" applyProtection="0"/>
    <xf numFmtId="0" fontId="179" fillId="78" borderId="46"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0" fontId="179" fillId="61" borderId="46" applyNumberFormat="0" applyAlignment="0" applyProtection="0"/>
    <xf numFmtId="189" fontId="180" fillId="61" borderId="46" applyNumberFormat="0" applyAlignment="0" applyProtection="0"/>
    <xf numFmtId="189" fontId="180" fillId="61" borderId="46"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330" fontId="2" fillId="101" borderId="7">
      <alignment vertical="center"/>
    </xf>
    <xf numFmtId="0"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167"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0" fontId="4" fillId="32" borderId="4" applyNumberFormat="0" applyProtection="0">
      <alignment horizontal="left" vertical="center" indent="1"/>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67"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67"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7">
      <alignment vertical="center"/>
    </xf>
    <xf numFmtId="331" fontId="19"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101" borderId="7">
      <alignment vertical="center"/>
    </xf>
    <xf numFmtId="331" fontId="19"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19">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0">
      <alignment horizontal="right"/>
    </xf>
    <xf numFmtId="180" fontId="59" fillId="0" borderId="28" applyNumberFormat="0" applyFont="0" applyBorder="0">
      <alignment horizontal="right"/>
    </xf>
    <xf numFmtId="180" fontId="190" fillId="0" borderId="0" applyFill="0"/>
    <xf numFmtId="180" fontId="59" fillId="0" borderId="0" applyFill="0"/>
    <xf numFmtId="334" fontId="12" fillId="0" borderId="30"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0"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0"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0"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0"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0" applyFill="0"/>
    <xf numFmtId="180" fontId="4" fillId="0" borderId="0" applyNumberFormat="0" applyFont="0" applyFill="0" applyBorder="0" applyAlignment="0"/>
    <xf numFmtId="180" fontId="59" fillId="0" borderId="0" applyFill="0">
      <alignment horizontal="left" indent="6"/>
    </xf>
    <xf numFmtId="335" fontId="39" fillId="46" borderId="13">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33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 borderId="28">
      <alignment vertical="center"/>
      <protection locked="0"/>
    </xf>
    <xf numFmtId="0" fontId="19"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2" fillId="3" borderId="28">
      <alignment vertical="center"/>
      <protection locked="0"/>
    </xf>
    <xf numFmtId="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2" fillId="3" borderId="28">
      <alignment vertical="center"/>
      <protection locked="0"/>
    </xf>
    <xf numFmtId="0" fontId="19" fillId="36"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0" fontId="2" fillId="3" borderId="28">
      <alignment vertical="center"/>
      <protection locked="0"/>
    </xf>
    <xf numFmtId="0"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2" fillId="3" borderId="28">
      <alignment vertical="center"/>
      <protection locked="0"/>
    </xf>
    <xf numFmtId="337" fontId="19" fillId="36"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8">
      <alignment vertical="center"/>
      <protection locked="0"/>
    </xf>
    <xf numFmtId="167" fontId="19" fillId="3" borderId="28">
      <alignment vertical="center"/>
      <protection locked="0"/>
    </xf>
    <xf numFmtId="337" fontId="2" fillId="3" borderId="28">
      <alignment vertical="center"/>
      <protection locked="0"/>
    </xf>
    <xf numFmtId="167" fontId="19" fillId="3" borderId="28">
      <alignment vertical="center"/>
      <protection locked="0"/>
    </xf>
    <xf numFmtId="337" fontId="2" fillId="3" borderId="28">
      <alignment vertical="center"/>
      <protection locked="0"/>
    </xf>
    <xf numFmtId="167" fontId="19" fillId="3" borderId="28">
      <alignment vertical="center"/>
      <protection locked="0"/>
    </xf>
    <xf numFmtId="337" fontId="2" fillId="3" borderId="28">
      <alignment vertical="center"/>
      <protection locked="0"/>
    </xf>
    <xf numFmtId="167" fontId="19" fillId="3" borderId="28">
      <alignment vertical="center"/>
      <protection locked="0"/>
    </xf>
    <xf numFmtId="33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 borderId="28">
      <alignment vertical="center"/>
      <protection locked="0"/>
    </xf>
    <xf numFmtId="171" fontId="2" fillId="3" borderId="28">
      <alignment vertical="center"/>
      <protection locked="0"/>
    </xf>
    <xf numFmtId="167" fontId="19" fillId="3" borderId="28">
      <alignment vertical="center"/>
      <protection locked="0"/>
    </xf>
    <xf numFmtId="171" fontId="2" fillId="3" borderId="28">
      <alignment vertical="center"/>
      <protection locked="0"/>
    </xf>
    <xf numFmtId="167" fontId="19" fillId="3" borderId="28">
      <alignment vertical="center"/>
      <protection locked="0"/>
    </xf>
    <xf numFmtId="171" fontId="2" fillId="3" borderId="28">
      <alignment vertical="center"/>
      <protection locked="0"/>
    </xf>
    <xf numFmtId="167" fontId="19" fillId="3" borderId="28">
      <alignment vertical="center"/>
      <protection locked="0"/>
    </xf>
    <xf numFmtId="171"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28">
      <alignment vertical="center"/>
      <protection locked="0"/>
    </xf>
    <xf numFmtId="171" fontId="19"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 borderId="28">
      <alignment vertical="center"/>
      <protection locked="0"/>
    </xf>
    <xf numFmtId="171" fontId="19"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67"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71" fontId="2" fillId="3" borderId="28">
      <alignment vertical="center"/>
      <protection locked="0"/>
    </xf>
    <xf numFmtId="167" fontId="19" fillId="36"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 borderId="28">
      <alignment vertical="center"/>
      <protection locked="0"/>
    </xf>
    <xf numFmtId="337" fontId="2" fillId="3" borderId="28">
      <alignment vertical="center"/>
      <protection locked="0"/>
    </xf>
    <xf numFmtId="167" fontId="19" fillId="3" borderId="28">
      <alignment vertical="center"/>
      <protection locked="0"/>
    </xf>
    <xf numFmtId="337" fontId="2" fillId="3" borderId="28">
      <alignment vertical="center"/>
      <protection locked="0"/>
    </xf>
    <xf numFmtId="167" fontId="19" fillId="3" borderId="28">
      <alignment vertical="center"/>
      <protection locked="0"/>
    </xf>
    <xf numFmtId="337" fontId="2" fillId="3" borderId="28">
      <alignment vertical="center"/>
      <protection locked="0"/>
    </xf>
    <xf numFmtId="167" fontId="19" fillId="3" borderId="28">
      <alignment vertical="center"/>
      <protection locked="0"/>
    </xf>
    <xf numFmtId="33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16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337" fontId="2" fillId="3"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67"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 borderId="28">
      <alignment vertical="center"/>
      <protection locked="0"/>
    </xf>
    <xf numFmtId="170" fontId="19"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170" fontId="2" fillId="3" borderId="28">
      <alignment vertical="center"/>
      <protection locked="0"/>
    </xf>
    <xf numFmtId="170"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2" fillId="3" borderId="28">
      <alignment vertical="center"/>
      <protection locked="0"/>
    </xf>
    <xf numFmtId="170" fontId="19" fillId="36"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70" fontId="2" fillId="3" borderId="28">
      <alignment vertical="center"/>
      <protection locked="0"/>
    </xf>
    <xf numFmtId="170"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 borderId="28">
      <alignment vertical="center"/>
      <protection locked="0"/>
    </xf>
    <xf numFmtId="167" fontId="2" fillId="3" borderId="28">
      <alignment vertical="center"/>
      <protection locked="0"/>
    </xf>
    <xf numFmtId="167" fontId="19" fillId="3" borderId="28">
      <alignment vertical="center"/>
      <protection locked="0"/>
    </xf>
    <xf numFmtId="167" fontId="2" fillId="3" borderId="28">
      <alignment vertical="center"/>
      <protection locked="0"/>
    </xf>
    <xf numFmtId="167" fontId="19" fillId="3" borderId="28">
      <alignment vertical="center"/>
      <protection locked="0"/>
    </xf>
    <xf numFmtId="167" fontId="2"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2" fillId="3" borderId="28">
      <alignment vertical="center"/>
      <protection locked="0"/>
    </xf>
    <xf numFmtId="167"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28">
      <alignment vertical="center"/>
      <protection locked="0"/>
    </xf>
    <xf numFmtId="171" fontId="19"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 borderId="28">
      <alignment vertical="center"/>
      <protection locked="0"/>
    </xf>
    <xf numFmtId="171" fontId="19"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19" fillId="36" borderId="28">
      <alignment vertical="center"/>
      <protection locked="0"/>
    </xf>
    <xf numFmtId="171" fontId="2" fillId="3" borderId="28">
      <alignment vertical="center"/>
      <protection locked="0"/>
    </xf>
    <xf numFmtId="171" fontId="19" fillId="36" borderId="28">
      <alignment vertical="center"/>
      <protection locked="0"/>
    </xf>
    <xf numFmtId="171" fontId="2" fillId="3" borderId="28">
      <alignment vertical="center"/>
      <protection locked="0"/>
    </xf>
    <xf numFmtId="171" fontId="19" fillId="36" borderId="28">
      <alignment vertical="center"/>
      <protection locked="0"/>
    </xf>
    <xf numFmtId="171" fontId="2" fillId="3" borderId="28">
      <alignment vertical="center"/>
      <protection locked="0"/>
    </xf>
    <xf numFmtId="171" fontId="19" fillId="36" borderId="28">
      <alignment vertical="center"/>
      <protection locked="0"/>
    </xf>
    <xf numFmtId="171" fontId="2" fillId="3" borderId="28">
      <alignment vertical="center"/>
      <protection locked="0"/>
    </xf>
    <xf numFmtId="171" fontId="19" fillId="36"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171" fontId="19" fillId="36"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171" fontId="19" fillId="36"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2" fillId="3" borderId="28">
      <alignment vertical="center"/>
      <protection locked="0"/>
    </xf>
    <xf numFmtId="171" fontId="19" fillId="36"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0" fontId="4" fillId="0" borderId="0" applyNumberFormat="0" applyFont="0" applyFill="0" applyBorder="0" applyAlignment="0" applyProtection="0"/>
    <xf numFmtId="171" fontId="2" fillId="3" borderId="28">
      <alignment vertical="center"/>
      <protection locked="0"/>
    </xf>
    <xf numFmtId="171" fontId="19" fillId="36" borderId="28">
      <alignment vertical="center"/>
      <protection locked="0"/>
    </xf>
    <xf numFmtId="167" fontId="19" fillId="36"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 borderId="28">
      <alignment vertical="center"/>
      <protection locked="0"/>
    </xf>
    <xf numFmtId="337" fontId="19"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8">
      <alignment vertical="center"/>
      <protection locked="0"/>
    </xf>
    <xf numFmtId="167" fontId="19" fillId="3" borderId="28">
      <alignment vertical="center"/>
      <protection locked="0"/>
    </xf>
    <xf numFmtId="167" fontId="19"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2" fillId="3"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337" fontId="19" fillId="36"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16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337" fontId="2" fillId="3" borderId="28">
      <alignment vertical="center"/>
      <protection locked="0"/>
    </xf>
    <xf numFmtId="337" fontId="2" fillId="3" borderId="28">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8">
      <alignment vertical="center"/>
      <protection locked="0"/>
    </xf>
    <xf numFmtId="167" fontId="19" fillId="36" borderId="28">
      <alignment vertical="center"/>
      <protection locked="0"/>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2" fillId="43"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9" fontId="19" fillId="38"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16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38" borderId="28">
      <alignment vertical="center"/>
    </xf>
    <xf numFmtId="337" fontId="2" fillId="43" borderId="28">
      <alignment vertical="center"/>
    </xf>
    <xf numFmtId="167" fontId="19"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2" fillId="43" borderId="28">
      <alignment vertical="center"/>
    </xf>
    <xf numFmtId="337" fontId="19" fillId="38" borderId="28">
      <alignment vertical="center"/>
    </xf>
    <xf numFmtId="337" fontId="2" fillId="43" borderId="28">
      <alignment vertical="center"/>
    </xf>
    <xf numFmtId="337" fontId="19" fillId="38" borderId="28">
      <alignment vertical="center"/>
    </xf>
    <xf numFmtId="167" fontId="19" fillId="43" borderId="28">
      <alignment vertical="center"/>
    </xf>
    <xf numFmtId="337" fontId="2" fillId="43" borderId="28">
      <alignment vertical="center"/>
    </xf>
    <xf numFmtId="167" fontId="19" fillId="43" borderId="28">
      <alignment vertical="center"/>
    </xf>
    <xf numFmtId="337" fontId="2" fillId="43" borderId="28">
      <alignment vertical="center"/>
    </xf>
    <xf numFmtId="167" fontId="19" fillId="43" borderId="28">
      <alignment vertical="center"/>
    </xf>
    <xf numFmtId="33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33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8">
      <alignment vertical="center"/>
    </xf>
    <xf numFmtId="33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28">
      <alignment vertical="center"/>
    </xf>
    <xf numFmtId="331" fontId="19" fillId="43"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43" borderId="28">
      <alignment vertical="center"/>
    </xf>
    <xf numFmtId="331" fontId="19"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33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0" fontId="4" fillId="0" borderId="0" applyNumberFormat="0" applyFont="0" applyFill="0" applyBorder="0" applyAlignment="0" applyProtection="0"/>
    <xf numFmtId="331" fontId="2" fillId="43" borderId="28">
      <alignment vertical="center"/>
    </xf>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33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8">
      <alignment vertical="center"/>
    </xf>
    <xf numFmtId="0" fontId="4" fillId="0" borderId="0" applyNumberFormat="0" applyFont="0" applyFill="0" applyBorder="0" applyAlignment="0" applyProtection="0"/>
    <xf numFmtId="331" fontId="2" fillId="43" borderId="28">
      <alignment vertical="center"/>
    </xf>
    <xf numFmtId="331" fontId="19" fillId="38" borderId="28">
      <alignment vertical="center"/>
    </xf>
    <xf numFmtId="331" fontId="2" fillId="43" borderId="28">
      <alignment vertical="center"/>
    </xf>
    <xf numFmtId="331" fontId="19" fillId="38" borderId="28">
      <alignment vertical="center"/>
    </xf>
    <xf numFmtId="331" fontId="2" fillId="43" borderId="28">
      <alignment vertical="center"/>
    </xf>
    <xf numFmtId="331" fontId="19" fillId="38" borderId="28">
      <alignment vertical="center"/>
    </xf>
    <xf numFmtId="331" fontId="2" fillId="43" borderId="28">
      <alignment vertical="center"/>
    </xf>
    <xf numFmtId="331" fontId="19" fillId="38" borderId="28">
      <alignment vertical="center"/>
    </xf>
    <xf numFmtId="331" fontId="2" fillId="43" borderId="28">
      <alignment vertical="center"/>
    </xf>
    <xf numFmtId="331" fontId="19" fillId="38"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8">
      <alignment vertical="center"/>
    </xf>
    <xf numFmtId="331" fontId="19" fillId="38"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0" fontId="4" fillId="0" borderId="0" applyNumberFormat="0" applyFont="0" applyFill="0" applyBorder="0" applyAlignment="0" applyProtection="0"/>
    <xf numFmtId="331" fontId="2" fillId="43" borderId="28">
      <alignment vertical="center"/>
    </xf>
    <xf numFmtId="331" fontId="2" fillId="43" borderId="28">
      <alignment vertical="center"/>
    </xf>
    <xf numFmtId="331" fontId="19" fillId="38" borderId="28">
      <alignment vertical="center"/>
    </xf>
    <xf numFmtId="0" fontId="4" fillId="0" borderId="0" applyNumberFormat="0" applyFont="0" applyFill="0" applyBorder="0" applyAlignment="0" applyProtection="0"/>
    <xf numFmtId="331" fontId="2" fillId="43" borderId="28">
      <alignment vertical="center"/>
    </xf>
    <xf numFmtId="33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0" fontId="4" fillId="0" borderId="0" applyNumberFormat="0" applyFont="0" applyFill="0" applyBorder="0" applyAlignment="0" applyProtection="0"/>
    <xf numFmtId="331" fontId="19" fillId="38" borderId="28">
      <alignment vertical="center"/>
    </xf>
    <xf numFmtId="331" fontId="19" fillId="38" borderId="28">
      <alignment vertical="center"/>
    </xf>
    <xf numFmtId="331" fontId="19" fillId="38" borderId="28">
      <alignment vertical="center"/>
    </xf>
    <xf numFmtId="0" fontId="4" fillId="0" borderId="0" applyNumberFormat="0" applyFont="0" applyFill="0" applyBorder="0" applyAlignment="0" applyProtection="0"/>
    <xf numFmtId="331" fontId="19" fillId="38" borderId="28">
      <alignment vertical="center"/>
    </xf>
    <xf numFmtId="331"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19" fillId="38" borderId="28">
      <alignment vertical="center"/>
    </xf>
    <xf numFmtId="331" fontId="19" fillId="38" borderId="28">
      <alignment vertical="center"/>
    </xf>
    <xf numFmtId="331" fontId="19" fillId="38" borderId="28">
      <alignment vertical="center"/>
    </xf>
    <xf numFmtId="331" fontId="19" fillId="38" borderId="28">
      <alignment vertical="center"/>
    </xf>
    <xf numFmtId="0" fontId="4" fillId="0" borderId="0" applyNumberFormat="0" applyFont="0" applyFill="0" applyBorder="0" applyAlignment="0" applyProtection="0"/>
    <xf numFmtId="331" fontId="19" fillId="38" borderId="28">
      <alignment vertical="center"/>
    </xf>
    <xf numFmtId="331" fontId="2" fillId="43" borderId="28">
      <alignment vertical="center"/>
    </xf>
    <xf numFmtId="331" fontId="2" fillId="43" borderId="28">
      <alignment vertical="center"/>
    </xf>
    <xf numFmtId="331" fontId="2" fillId="43" borderId="28">
      <alignment vertical="center"/>
    </xf>
    <xf numFmtId="331" fontId="2" fillId="43" borderId="28">
      <alignment vertical="center"/>
    </xf>
    <xf numFmtId="331" fontId="19" fillId="38"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0" fontId="4" fillId="0" borderId="0" applyNumberFormat="0" applyFont="0" applyFill="0" applyBorder="0" applyAlignment="0" applyProtection="0"/>
    <xf numFmtId="331" fontId="2" fillId="43" borderId="28">
      <alignment vertical="center"/>
    </xf>
    <xf numFmtId="331" fontId="19" fillId="38"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38" borderId="28">
      <alignment vertical="center"/>
    </xf>
    <xf numFmtId="337" fontId="2" fillId="43" borderId="28">
      <alignment vertical="center"/>
    </xf>
    <xf numFmtId="171" fontId="19" fillId="43" borderId="28">
      <alignment vertical="center"/>
    </xf>
    <xf numFmtId="337" fontId="2" fillId="43" borderId="28">
      <alignment vertical="center"/>
    </xf>
    <xf numFmtId="171" fontId="19" fillId="43" borderId="28">
      <alignment vertical="center"/>
    </xf>
    <xf numFmtId="337" fontId="2" fillId="43" borderId="28">
      <alignment vertical="center"/>
    </xf>
    <xf numFmtId="171" fontId="19" fillId="43" borderId="28">
      <alignment vertical="center"/>
    </xf>
    <xf numFmtId="337" fontId="2" fillId="43" borderId="28">
      <alignment vertical="center"/>
    </xf>
    <xf numFmtId="171" fontId="19" fillId="43" borderId="28">
      <alignment vertical="center"/>
    </xf>
    <xf numFmtId="337"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8">
      <alignment vertical="center"/>
    </xf>
    <xf numFmtId="171" fontId="19"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43" borderId="28">
      <alignment vertical="center"/>
    </xf>
    <xf numFmtId="171" fontId="19"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8">
      <alignment vertical="center"/>
    </xf>
    <xf numFmtId="0" fontId="4" fillId="0" borderId="0" applyNumberFormat="0" applyFont="0" applyFill="0" applyBorder="0" applyAlignment="0" applyProtection="0"/>
    <xf numFmtId="171" fontId="2" fillId="43" borderId="28">
      <alignment vertical="center"/>
    </xf>
    <xf numFmtId="171" fontId="19" fillId="38" borderId="28">
      <alignment vertical="center"/>
    </xf>
    <xf numFmtId="171" fontId="2" fillId="43" borderId="28">
      <alignment vertical="center"/>
    </xf>
    <xf numFmtId="171" fontId="19" fillId="38" borderId="28">
      <alignment vertical="center"/>
    </xf>
    <xf numFmtId="171" fontId="2" fillId="43" borderId="28">
      <alignment vertical="center"/>
    </xf>
    <xf numFmtId="171" fontId="19" fillId="38" borderId="28">
      <alignment vertical="center"/>
    </xf>
    <xf numFmtId="171" fontId="2" fillId="43" borderId="28">
      <alignment vertical="center"/>
    </xf>
    <xf numFmtId="171" fontId="19" fillId="38" borderId="28">
      <alignment vertical="center"/>
    </xf>
    <xf numFmtId="171" fontId="2" fillId="43" borderId="28">
      <alignment vertical="center"/>
    </xf>
    <xf numFmtId="171" fontId="19" fillId="38"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8">
      <alignment vertical="center"/>
    </xf>
    <xf numFmtId="171" fontId="19" fillId="38"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171" fontId="19" fillId="38"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4" fillId="0" borderId="0" applyNumberFormat="0" applyFont="0" applyFill="0" applyBorder="0" applyAlignment="0" applyProtection="0"/>
    <xf numFmtId="171" fontId="19" fillId="38" borderId="28">
      <alignment vertical="center"/>
    </xf>
    <xf numFmtId="171" fontId="19" fillId="38" borderId="28">
      <alignment vertical="center"/>
    </xf>
    <xf numFmtId="171" fontId="19" fillId="38" borderId="28">
      <alignment vertical="center"/>
    </xf>
    <xf numFmtId="0" fontId="4" fillId="0" borderId="0" applyNumberFormat="0" applyFont="0" applyFill="0" applyBorder="0" applyAlignment="0" applyProtection="0"/>
    <xf numFmtId="171" fontId="19" fillId="38" borderId="28">
      <alignment vertical="center"/>
    </xf>
    <xf numFmtId="171"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4" fillId="0" borderId="0" applyNumberFormat="0" applyFont="0" applyFill="0" applyBorder="0" applyAlignment="0" applyProtection="0"/>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8">
      <alignment vertical="center"/>
    </xf>
    <xf numFmtId="171" fontId="19" fillId="43" borderId="28">
      <alignment vertical="center"/>
    </xf>
    <xf numFmtId="171" fontId="19"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8">
      <alignment vertical="center"/>
    </xf>
    <xf numFmtId="171"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8">
      <alignment vertical="center"/>
    </xf>
    <xf numFmtId="171"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171" fontId="19" fillId="43" borderId="28">
      <alignment vertical="center"/>
    </xf>
    <xf numFmtId="171" fontId="19"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8">
      <alignment vertical="center"/>
    </xf>
    <xf numFmtId="171" fontId="19"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43" borderId="28">
      <alignment vertical="center"/>
    </xf>
    <xf numFmtId="171" fontId="19"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171"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171" fontId="19" fillId="38" borderId="28">
      <alignment vertical="center"/>
    </xf>
    <xf numFmtId="337" fontId="2" fillId="43" borderId="28">
      <alignment vertical="center"/>
    </xf>
    <xf numFmtId="171"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4" fillId="0" borderId="0" applyNumberFormat="0" applyFont="0" applyFill="0" applyBorder="0" applyAlignment="0" applyProtection="0"/>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19" fillId="38"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19" fillId="38" borderId="28">
      <alignment vertical="center"/>
    </xf>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4" fillId="0" borderId="0" applyNumberFormat="0" applyFont="0" applyFill="0" applyBorder="0" applyAlignment="0" applyProtection="0"/>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19" fillId="38"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43" borderId="28">
      <alignment vertical="center"/>
    </xf>
    <xf numFmtId="171" fontId="2" fillId="43" borderId="28">
      <alignment vertical="center"/>
    </xf>
    <xf numFmtId="0" fontId="19" fillId="43" borderId="28">
      <alignment vertical="center"/>
    </xf>
    <xf numFmtId="171" fontId="2" fillId="43" borderId="28">
      <alignment vertical="center"/>
    </xf>
    <xf numFmtId="0" fontId="19" fillId="43" borderId="28">
      <alignment vertical="center"/>
    </xf>
    <xf numFmtId="171" fontId="2" fillId="43" borderId="28">
      <alignment vertical="center"/>
    </xf>
    <xf numFmtId="0" fontId="19" fillId="43" borderId="28">
      <alignment vertical="center"/>
    </xf>
    <xf numFmtId="171" fontId="2" fillId="43" borderId="28">
      <alignment vertical="center"/>
    </xf>
    <xf numFmtId="0" fontId="2" fillId="43" borderId="28">
      <alignment vertical="center"/>
    </xf>
    <xf numFmtId="0" fontId="2" fillId="43" borderId="28">
      <alignment vertical="center"/>
    </xf>
    <xf numFmtId="0"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8">
      <alignment vertical="center"/>
    </xf>
    <xf numFmtId="171" fontId="19"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43" borderId="28">
      <alignment vertical="center"/>
    </xf>
    <xf numFmtId="171" fontId="19"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0"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0" fontId="19" fillId="38" borderId="28">
      <alignment vertical="center"/>
    </xf>
    <xf numFmtId="171" fontId="2" fillId="43" borderId="28">
      <alignment vertical="center"/>
    </xf>
    <xf numFmtId="0" fontId="19" fillId="38" borderId="28">
      <alignment vertical="center"/>
    </xf>
    <xf numFmtId="171" fontId="2" fillId="43" borderId="28">
      <alignment vertical="center"/>
    </xf>
    <xf numFmtId="0" fontId="19" fillId="38"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8">
      <alignment vertical="center"/>
    </xf>
    <xf numFmtId="33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43" borderId="28">
      <alignment vertical="center"/>
    </xf>
    <xf numFmtId="337" fontId="19"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2" fillId="43" borderId="28">
      <alignment vertical="center"/>
    </xf>
    <xf numFmtId="337" fontId="19" fillId="38" borderId="28">
      <alignment vertical="center"/>
    </xf>
    <xf numFmtId="337" fontId="19" fillId="38" borderId="28">
      <alignment vertical="center"/>
    </xf>
    <xf numFmtId="337" fontId="19" fillId="38" borderId="28">
      <alignment vertical="center"/>
    </xf>
    <xf numFmtId="33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337" fontId="2" fillId="43" borderId="28">
      <alignment vertical="center"/>
    </xf>
    <xf numFmtId="33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8">
      <alignment vertical="center"/>
    </xf>
    <xf numFmtId="0" fontId="19"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43" borderId="28">
      <alignment vertical="center"/>
    </xf>
    <xf numFmtId="0" fontId="19"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2" fillId="43" borderId="28">
      <alignment vertical="center"/>
    </xf>
    <xf numFmtId="0"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19" fillId="38" borderId="28">
      <alignment vertical="center"/>
    </xf>
    <xf numFmtId="0" fontId="2" fillId="43" borderId="28">
      <alignment vertical="center"/>
    </xf>
    <xf numFmtId="0" fontId="2" fillId="43" borderId="28">
      <alignment vertical="center"/>
    </xf>
    <xf numFmtId="0" fontId="2" fillId="43" borderId="28">
      <alignment vertical="center"/>
    </xf>
    <xf numFmtId="0" fontId="2" fillId="43" borderId="28">
      <alignment vertical="center"/>
    </xf>
    <xf numFmtId="0" fontId="19" fillId="38" borderId="28">
      <alignment vertical="center"/>
    </xf>
    <xf numFmtId="0" fontId="19" fillId="38" borderId="28">
      <alignment vertical="center"/>
    </xf>
    <xf numFmtId="0" fontId="2" fillId="43" borderId="28">
      <alignment vertical="center"/>
    </xf>
    <xf numFmtId="0" fontId="19" fillId="38" borderId="28">
      <alignment vertical="center"/>
    </xf>
    <xf numFmtId="0" fontId="2" fillId="43" borderId="28">
      <alignment vertical="center"/>
    </xf>
    <xf numFmtId="0"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0" fontId="4" fillId="0" borderId="0" applyNumberFormat="0" applyFont="0" applyFill="0" applyBorder="0" applyAlignment="0" applyProtection="0"/>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19" fillId="38"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167" fontId="19" fillId="38" borderId="28">
      <alignment vertical="center"/>
    </xf>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0" fontId="4" fillId="0" borderId="0" applyNumberFormat="0" applyFont="0" applyFill="0" applyBorder="0" applyAlignment="0" applyProtection="0"/>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19" fillId="38"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43" borderId="28">
      <alignment vertical="center"/>
    </xf>
    <xf numFmtId="171" fontId="2" fillId="43" borderId="28">
      <alignment vertical="center"/>
    </xf>
    <xf numFmtId="167" fontId="19" fillId="43" borderId="28">
      <alignment vertical="center"/>
    </xf>
    <xf numFmtId="171" fontId="2" fillId="43" borderId="28">
      <alignment vertical="center"/>
    </xf>
    <xf numFmtId="167" fontId="19" fillId="43" borderId="28">
      <alignment vertical="center"/>
    </xf>
    <xf numFmtId="171" fontId="2" fillId="43" borderId="28">
      <alignment vertical="center"/>
    </xf>
    <xf numFmtId="167" fontId="19" fillId="43" borderId="28">
      <alignment vertical="center"/>
    </xf>
    <xf numFmtId="171"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8">
      <alignment vertical="center"/>
    </xf>
    <xf numFmtId="171" fontId="19"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43" borderId="28">
      <alignment vertical="center"/>
    </xf>
    <xf numFmtId="171" fontId="19"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71" fontId="2" fillId="43" borderId="28">
      <alignment vertical="center"/>
    </xf>
    <xf numFmtId="171"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71" fontId="19" fillId="38" borderId="28">
      <alignment vertical="center"/>
    </xf>
    <xf numFmtId="171" fontId="19" fillId="38" borderId="28">
      <alignment vertical="center"/>
    </xf>
    <xf numFmtId="171" fontId="19" fillId="38" borderId="28">
      <alignment vertical="center"/>
    </xf>
    <xf numFmtId="167" fontId="19" fillId="38" borderId="28">
      <alignment vertical="center"/>
    </xf>
    <xf numFmtId="171" fontId="19" fillId="38" borderId="28">
      <alignment vertical="center"/>
    </xf>
    <xf numFmtId="171" fontId="2" fillId="43" borderId="28">
      <alignment vertical="center"/>
    </xf>
    <xf numFmtId="171" fontId="2" fillId="43" borderId="28">
      <alignment vertical="center"/>
    </xf>
    <xf numFmtId="171" fontId="2" fillId="43" borderId="28">
      <alignment vertical="center"/>
    </xf>
    <xf numFmtId="171" fontId="2" fillId="43" borderId="28">
      <alignment vertical="center"/>
    </xf>
    <xf numFmtId="171" fontId="19" fillId="38" borderId="28">
      <alignment vertical="center"/>
    </xf>
    <xf numFmtId="167" fontId="19" fillId="38" borderId="28">
      <alignment vertical="center"/>
    </xf>
    <xf numFmtId="171" fontId="2" fillId="43" borderId="28">
      <alignment vertical="center"/>
    </xf>
    <xf numFmtId="167" fontId="19" fillId="38" borderId="28">
      <alignment vertical="center"/>
    </xf>
    <xf numFmtId="171" fontId="2" fillId="43" borderId="28">
      <alignment vertical="center"/>
    </xf>
    <xf numFmtId="167"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19" fillId="38"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8">
      <alignment vertical="center"/>
    </xf>
    <xf numFmtId="167" fontId="19"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38" borderId="28">
      <alignment vertical="center"/>
    </xf>
    <xf numFmtId="167" fontId="19" fillId="43" borderId="28">
      <alignment vertical="center"/>
    </xf>
    <xf numFmtId="167" fontId="19"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167" fontId="2" fillId="43" borderId="28">
      <alignment vertical="center"/>
    </xf>
    <xf numFmtId="167" fontId="2" fillId="43" borderId="28">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8">
      <alignment vertical="center"/>
    </xf>
    <xf numFmtId="167" fontId="2" fillId="44"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171" fontId="19" fillId="39"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44" borderId="28">
      <alignment horizontal="right" vertical="center"/>
      <protection locked="0"/>
    </xf>
    <xf numFmtId="331" fontId="2" fillId="44" borderId="28">
      <alignment horizontal="right" vertical="center"/>
      <protection locked="0"/>
    </xf>
    <xf numFmtId="171" fontId="19" fillId="44" borderId="28">
      <alignment horizontal="right" vertical="center"/>
      <protection locked="0"/>
    </xf>
    <xf numFmtId="331" fontId="2" fillId="44" borderId="28">
      <alignment horizontal="right" vertical="center"/>
      <protection locked="0"/>
    </xf>
    <xf numFmtId="171" fontId="19" fillId="44" borderId="28">
      <alignment horizontal="right" vertical="center"/>
      <protection locked="0"/>
    </xf>
    <xf numFmtId="331" fontId="2" fillId="44" borderId="28">
      <alignment horizontal="right" vertical="center"/>
      <protection locked="0"/>
    </xf>
    <xf numFmtId="171" fontId="19" fillId="44" borderId="28">
      <alignment horizontal="right" vertical="center"/>
      <protection locked="0"/>
    </xf>
    <xf numFmtId="33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28">
      <alignment horizontal="right" vertical="center"/>
      <protection locked="0"/>
    </xf>
    <xf numFmtId="331" fontId="19"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44" borderId="28">
      <alignment horizontal="right" vertical="center"/>
      <protection locked="0"/>
    </xf>
    <xf numFmtId="331" fontId="19"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33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8">
      <alignment horizontal="right" vertical="center"/>
      <protection locked="0"/>
    </xf>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33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33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8">
      <alignment horizontal="right" vertical="center"/>
      <protection locked="0"/>
    </xf>
    <xf numFmtId="171" fontId="19"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331" fontId="2" fillId="44" borderId="28">
      <alignment horizontal="right" vertical="center"/>
      <protection locked="0"/>
    </xf>
    <xf numFmtId="33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331" fontId="2" fillId="44" borderId="28">
      <alignment horizontal="right" vertical="center"/>
      <protection locked="0"/>
    </xf>
    <xf numFmtId="33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331" fontId="19" fillId="39" borderId="28">
      <alignment horizontal="right" vertical="center"/>
      <protection locked="0"/>
    </xf>
    <xf numFmtId="171" fontId="19" fillId="39" borderId="28">
      <alignment horizontal="right" vertical="center"/>
      <protection locked="0"/>
    </xf>
    <xf numFmtId="331" fontId="19" fillId="39"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2" fillId="44" borderId="28">
      <alignment horizontal="right" vertical="center"/>
      <protection locked="0"/>
    </xf>
    <xf numFmtId="331" fontId="19" fillId="39"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331" fontId="2" fillId="44" borderId="28">
      <alignment horizontal="right" vertical="center"/>
      <protection locked="0"/>
    </xf>
    <xf numFmtId="171"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19" fillId="39"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44" borderId="28">
      <alignment horizontal="right" vertical="center"/>
      <protection locked="0"/>
    </xf>
    <xf numFmtId="171" fontId="2" fillId="44" borderId="28">
      <alignment horizontal="right" vertical="center"/>
      <protection locked="0"/>
    </xf>
    <xf numFmtId="0" fontId="19" fillId="44" borderId="28">
      <alignment horizontal="right" vertical="center"/>
      <protection locked="0"/>
    </xf>
    <xf numFmtId="171" fontId="2" fillId="44" borderId="28">
      <alignment horizontal="right" vertical="center"/>
      <protection locked="0"/>
    </xf>
    <xf numFmtId="0" fontId="19" fillId="44" borderId="28">
      <alignment horizontal="right" vertical="center"/>
      <protection locked="0"/>
    </xf>
    <xf numFmtId="171" fontId="2" fillId="44" borderId="28">
      <alignment horizontal="right" vertical="center"/>
      <protection locked="0"/>
    </xf>
    <xf numFmtId="0" fontId="19" fillId="44" borderId="28">
      <alignment horizontal="right" vertical="center"/>
      <protection locked="0"/>
    </xf>
    <xf numFmtId="171"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0"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171" fontId="2" fillId="44"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44" borderId="28">
      <alignment horizontal="right" vertical="center"/>
      <protection locked="0"/>
    </xf>
    <xf numFmtId="0" fontId="19"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2" fillId="44" borderId="28">
      <alignment horizontal="right" vertical="center"/>
      <protection locked="0"/>
    </xf>
    <xf numFmtId="0"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0" fontId="19" fillId="39" borderId="28">
      <alignment horizontal="right" vertical="center"/>
      <protection locked="0"/>
    </xf>
    <xf numFmtId="0" fontId="2" fillId="44" borderId="28">
      <alignment horizontal="right" vertical="center"/>
      <protection locked="0"/>
    </xf>
    <xf numFmtId="0" fontId="19" fillId="39"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44" borderId="28">
      <alignment horizontal="right" vertical="center"/>
      <protection locked="0"/>
    </xf>
    <xf numFmtId="171" fontId="2" fillId="44" borderId="28">
      <alignment horizontal="right" vertical="center"/>
      <protection locked="0"/>
    </xf>
    <xf numFmtId="167" fontId="19" fillId="44" borderId="28">
      <alignment horizontal="right" vertical="center"/>
      <protection locked="0"/>
    </xf>
    <xf numFmtId="171" fontId="2" fillId="44" borderId="28">
      <alignment horizontal="right" vertical="center"/>
      <protection locked="0"/>
    </xf>
    <xf numFmtId="167" fontId="19" fillId="44" borderId="28">
      <alignment horizontal="right" vertical="center"/>
      <protection locked="0"/>
    </xf>
    <xf numFmtId="171" fontId="2" fillId="44" borderId="28">
      <alignment horizontal="right" vertical="center"/>
      <protection locked="0"/>
    </xf>
    <xf numFmtId="167" fontId="19" fillId="44" borderId="28">
      <alignment horizontal="right" vertical="center"/>
      <protection locked="0"/>
    </xf>
    <xf numFmtId="171"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44" borderId="28">
      <alignment horizontal="right" vertical="center"/>
      <protection locked="0"/>
    </xf>
    <xf numFmtId="171" fontId="19"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71" fontId="2" fillId="44" borderId="28">
      <alignment horizontal="right" vertical="center"/>
      <protection locked="0"/>
    </xf>
    <xf numFmtId="171"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71" fontId="19" fillId="39" borderId="28">
      <alignment horizontal="right" vertical="center"/>
      <protection locked="0"/>
    </xf>
    <xf numFmtId="167" fontId="19" fillId="39" borderId="28">
      <alignment horizontal="right" vertical="center"/>
      <protection locked="0"/>
    </xf>
    <xf numFmtId="171" fontId="19" fillId="39"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2" fillId="44" borderId="28">
      <alignment horizontal="right" vertical="center"/>
      <protection locked="0"/>
    </xf>
    <xf numFmtId="171" fontId="19" fillId="39"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71"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167"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39" borderId="28">
      <alignment horizontal="right" vertical="center"/>
      <protection locked="0"/>
    </xf>
    <xf numFmtId="167" fontId="19" fillId="44" borderId="28">
      <alignment horizontal="right" vertical="center"/>
      <protection locked="0"/>
    </xf>
    <xf numFmtId="167" fontId="19"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167" fontId="2" fillId="44" borderId="28">
      <alignment horizontal="right" vertical="center"/>
      <protection locked="0"/>
    </xf>
    <xf numFmtId="167" fontId="2" fillId="44" borderId="28">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8">
      <alignment horizontal="right" vertical="center"/>
      <protection locked="0"/>
    </xf>
    <xf numFmtId="336" fontId="19" fillId="0" borderId="0">
      <protection locked="0"/>
    </xf>
    <xf numFmtId="338" fontId="194" fillId="0" borderId="0"/>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protection locked="0"/>
    </xf>
    <xf numFmtId="180" fontId="195" fillId="0" borderId="47">
      <protection locked="0"/>
    </xf>
    <xf numFmtId="180" fontId="195" fillId="0" borderId="47">
      <protection locked="0"/>
    </xf>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protection locked="0"/>
    </xf>
    <xf numFmtId="180" fontId="195" fillId="0" borderId="47">
      <protection locked="0"/>
    </xf>
    <xf numFmtId="180" fontId="195" fillId="0" borderId="47">
      <protection locked="0"/>
    </xf>
    <xf numFmtId="193" fontId="195" fillId="0" borderId="0"/>
    <xf numFmtId="180" fontId="195" fillId="0" borderId="47">
      <protection locked="0"/>
    </xf>
    <xf numFmtId="180" fontId="195" fillId="0" borderId="47">
      <protection locked="0"/>
    </xf>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80" fontId="195" fillId="0" borderId="47">
      <protection locked="0"/>
    </xf>
    <xf numFmtId="180" fontId="195" fillId="0" borderId="47">
      <protection locked="0"/>
    </xf>
    <xf numFmtId="193" fontId="195" fillId="0" borderId="0"/>
    <xf numFmtId="180" fontId="195" fillId="0" borderId="0"/>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80" fontId="195" fillId="0" borderId="47">
      <protection locked="0"/>
    </xf>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80" fontId="195" fillId="0" borderId="47">
      <protection locked="0"/>
    </xf>
    <xf numFmtId="180" fontId="195" fillId="0" borderId="47">
      <protection locked="0"/>
    </xf>
    <xf numFmtId="180" fontId="195" fillId="0" borderId="47">
      <protection locked="0"/>
    </xf>
    <xf numFmtId="180" fontId="195" fillId="0" borderId="47">
      <protection locked="0"/>
    </xf>
    <xf numFmtId="180" fontId="195" fillId="0" borderId="47">
      <protection locked="0"/>
    </xf>
    <xf numFmtId="193" fontId="195" fillId="0" borderId="0"/>
    <xf numFmtId="180" fontId="195" fillId="0" borderId="47">
      <protection locked="0"/>
    </xf>
    <xf numFmtId="180" fontId="195" fillId="0" borderId="47">
      <protection locked="0"/>
    </xf>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protection locked="0"/>
    </xf>
    <xf numFmtId="180" fontId="195" fillId="0" borderId="47">
      <protection locked="0"/>
    </xf>
    <xf numFmtId="180" fontId="195" fillId="0" borderId="47">
      <protection locked="0"/>
    </xf>
    <xf numFmtId="180" fontId="195" fillId="0" borderId="47">
      <protection locked="0"/>
    </xf>
    <xf numFmtId="180" fontId="195" fillId="0" borderId="47">
      <protection locked="0"/>
    </xf>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alignment horizontal="centerContinuous"/>
    </xf>
    <xf numFmtId="180" fontId="195" fillId="0" borderId="47">
      <alignment horizontal="centerContinuous"/>
    </xf>
    <xf numFmtId="180" fontId="195" fillId="0" borderId="47">
      <protection locked="0"/>
    </xf>
    <xf numFmtId="180" fontId="195" fillId="0" borderId="47">
      <alignment horizontal="centerContinuous"/>
    </xf>
    <xf numFmtId="180" fontId="195" fillId="0" borderId="47">
      <alignment horizontal="centerContinuous"/>
    </xf>
    <xf numFmtId="180" fontId="195" fillId="0" borderId="47">
      <alignment horizontal="centerContinuous"/>
    </xf>
    <xf numFmtId="193" fontId="195" fillId="0" borderId="0"/>
    <xf numFmtId="180" fontId="195" fillId="0" borderId="47">
      <protection locked="0"/>
    </xf>
    <xf numFmtId="180" fontId="195" fillId="0" borderId="47">
      <protection locked="0"/>
    </xf>
    <xf numFmtId="180" fontId="196" fillId="0" borderId="48">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4" fillId="45" borderId="4" applyNumberFormat="0" applyProtection="0">
      <alignment vertical="center"/>
    </xf>
    <xf numFmtId="4" fontId="14" fillId="45"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4" fillId="45"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97" fillId="45" borderId="4" applyNumberFormat="0" applyProtection="0">
      <alignment vertical="center"/>
    </xf>
    <xf numFmtId="4" fontId="197" fillId="45"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97" fillId="45" borderId="4" applyNumberFormat="0" applyProtection="0">
      <alignment vertical="center"/>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98" fillId="45" borderId="4" applyNumberFormat="0" applyProtection="0">
      <alignment horizontal="left" vertical="center" indent="1"/>
    </xf>
    <xf numFmtId="4" fontId="198" fillId="45"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98" fillId="45" borderId="4" applyNumberFormat="0" applyProtection="0">
      <alignment horizontal="left" vertical="center"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98" fillId="104" borderId="4" applyNumberFormat="0" applyProtection="0">
      <alignment horizontal="right" vertical="center"/>
    </xf>
    <xf numFmtId="4" fontId="198" fillId="104"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98" fillId="104"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98" fillId="89" borderId="4" applyNumberFormat="0" applyProtection="0">
      <alignment horizontal="right" vertical="center"/>
    </xf>
    <xf numFmtId="4" fontId="198" fillId="89"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98" fillId="89"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98" fillId="86" borderId="4" applyNumberFormat="0" applyProtection="0">
      <alignment horizontal="right" vertical="center"/>
    </xf>
    <xf numFmtId="4" fontId="198" fillId="86"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98" fillId="86"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98" fillId="38" borderId="4" applyNumberFormat="0" applyProtection="0">
      <alignment horizontal="right" vertical="center"/>
    </xf>
    <xf numFmtId="4" fontId="198" fillId="38"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98" fillId="38"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98" fillId="90" borderId="4" applyNumberFormat="0" applyProtection="0">
      <alignment horizontal="right" vertical="center"/>
    </xf>
    <xf numFmtId="4" fontId="198" fillId="90"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98" fillId="90"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98" fillId="37" borderId="4" applyNumberFormat="0" applyProtection="0">
      <alignment horizontal="right" vertical="center"/>
    </xf>
    <xf numFmtId="4" fontId="198" fillId="37"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98" fillId="37"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98" fillId="91" borderId="4" applyNumberFormat="0" applyProtection="0">
      <alignment horizontal="right" vertical="center"/>
    </xf>
    <xf numFmtId="4" fontId="198" fillId="91"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98" fillId="91"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98" fillId="105" borderId="4" applyNumberFormat="0" applyProtection="0">
      <alignment horizontal="right" vertical="center"/>
    </xf>
    <xf numFmtId="4" fontId="198" fillId="105"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98" fillId="105"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98" fillId="97" borderId="4" applyNumberFormat="0" applyProtection="0">
      <alignment horizontal="right" vertical="center"/>
    </xf>
    <xf numFmtId="4" fontId="198" fillId="97"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98" fillId="97" borderId="4" applyNumberFormat="0" applyProtection="0">
      <alignment horizontal="right" vertical="center"/>
    </xf>
    <xf numFmtId="4" fontId="14" fillId="106" borderId="5" applyNumberFormat="0" applyProtection="0">
      <alignment horizontal="left" vertical="center" indent="1"/>
    </xf>
    <xf numFmtId="4" fontId="14" fillId="106" borderId="5"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98" fillId="40" borderId="4" applyNumberFormat="0" applyProtection="0">
      <alignment horizontal="right" vertical="center"/>
    </xf>
    <xf numFmtId="4" fontId="198" fillId="40"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98" fillId="40" borderId="4" applyNumberFormat="0" applyProtection="0">
      <alignment horizontal="right" vertical="center"/>
    </xf>
    <xf numFmtId="4" fontId="13" fillId="30" borderId="0" applyNumberFormat="0" applyProtection="0">
      <alignment horizontal="left" vertical="center" indent="1"/>
    </xf>
    <xf numFmtId="4" fontId="48" fillId="30" borderId="49" applyNumberFormat="0" applyProtection="0">
      <alignment horizontal="left" vertical="center" indent="1"/>
    </xf>
    <xf numFmtId="4" fontId="13" fillId="19" borderId="0" applyNumberFormat="0" applyProtection="0">
      <alignment horizontal="left" vertical="center" indent="1"/>
    </xf>
    <xf numFmtId="4" fontId="48" fillId="19" borderId="49"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8" fillId="61" borderId="50" applyNumberFormat="0" applyProtection="0">
      <alignment horizontal="left" vertical="center"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8" fillId="31" borderId="4" applyNumberFormat="0" applyProtection="0">
      <alignment horizontal="left" vertical="top"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8" fillId="83" borderId="50" applyNumberFormat="0" applyProtection="0">
      <alignment horizontal="left" vertical="center"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8" fillId="19" borderId="4" applyNumberFormat="0" applyProtection="0">
      <alignment horizontal="left" vertical="top"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8" fillId="32" borderId="50" applyNumberFormat="0" applyProtection="0">
      <alignment horizontal="left" vertical="center"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8" fillId="32" borderId="4" applyNumberFormat="0" applyProtection="0">
      <alignment horizontal="left" vertical="top"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8" fillId="30" borderId="50" applyNumberFormat="0" applyProtection="0">
      <alignment horizontal="left" vertical="center"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8" fillId="30" borderId="4" applyNumberFormat="0" applyProtection="0">
      <alignment horizontal="left" vertical="top" indent="1"/>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8" fillId="33" borderId="51" applyNumberFormat="0">
      <protection locked="0"/>
    </xf>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0" fontId="88" fillId="31" borderId="52" applyBorder="0"/>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98" fillId="107" borderId="4" applyNumberFormat="0" applyProtection="0">
      <alignment vertical="center"/>
    </xf>
    <xf numFmtId="4" fontId="198" fillId="107"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98" fillId="107"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99" fillId="107" borderId="4" applyNumberFormat="0" applyProtection="0">
      <alignment vertical="center"/>
    </xf>
    <xf numFmtId="4" fontId="199" fillId="107"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99" fillId="107" borderId="4" applyNumberFormat="0" applyProtection="0">
      <alignment vertical="center"/>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4" fillId="40" borderId="53" applyNumberFormat="0" applyProtection="0">
      <alignment horizontal="left" vertical="center" indent="1"/>
    </xf>
    <xf numFmtId="4" fontId="14" fillId="40" borderId="53"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4" fillId="40" borderId="53" applyNumberFormat="0" applyProtection="0">
      <alignment horizontal="left" vertical="center"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98" fillId="107" borderId="4" applyNumberFormat="0" applyProtection="0">
      <alignment horizontal="right" vertical="center"/>
    </xf>
    <xf numFmtId="4" fontId="198" fillId="107"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98" fillId="107"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99" fillId="107" borderId="4" applyNumberFormat="0" applyProtection="0">
      <alignment horizontal="right" vertical="center"/>
    </xf>
    <xf numFmtId="4" fontId="199" fillId="107"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99" fillId="107" borderId="4" applyNumberFormat="0" applyProtection="0">
      <alignment horizontal="right" vertical="center"/>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4" fillId="40" borderId="4" applyNumberFormat="0" applyProtection="0">
      <alignment horizontal="left" vertical="center" indent="1"/>
    </xf>
    <xf numFmtId="4" fontId="14" fillId="40"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4" fillId="40" borderId="4" applyNumberFormat="0" applyProtection="0">
      <alignment horizontal="left" vertical="center"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4" fontId="16" fillId="108" borderId="53" applyNumberFormat="0" applyProtection="0">
      <alignment horizontal="left" vertical="center" indent="1"/>
    </xf>
    <xf numFmtId="4" fontId="16" fillId="108" borderId="53" applyNumberFormat="0" applyProtection="0">
      <alignment horizontal="left" vertical="center" indent="1"/>
    </xf>
    <xf numFmtId="4" fontId="16" fillId="108" borderId="53" applyNumberFormat="0" applyProtection="0">
      <alignment horizontal="left" vertical="center" indent="1"/>
    </xf>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180" fontId="48" fillId="109" borderId="7"/>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200" fillId="107" borderId="4" applyNumberFormat="0" applyProtection="0">
      <alignment horizontal="right" vertical="center"/>
    </xf>
    <xf numFmtId="38" fontId="201" fillId="0" borderId="54">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5" applyNumberFormat="0"/>
    <xf numFmtId="40" fontId="4" fillId="0" borderId="0" applyBorder="0">
      <alignment horizontal="right"/>
    </xf>
    <xf numFmtId="37" fontId="59" fillId="0" borderId="55" applyNumberFormat="0"/>
    <xf numFmtId="40" fontId="219" fillId="0" borderId="0" applyBorder="0">
      <alignment horizontal="right"/>
    </xf>
    <xf numFmtId="0" fontId="220" fillId="0" borderId="56"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7">
      <protection locked="0"/>
    </xf>
    <xf numFmtId="0" fontId="211" fillId="46" borderId="7">
      <protection locked="0"/>
    </xf>
    <xf numFmtId="180" fontId="221" fillId="0" borderId="0" applyBorder="0" applyProtection="0">
      <alignment vertical="center"/>
    </xf>
    <xf numFmtId="180" fontId="221" fillId="0" borderId="11" applyBorder="0" applyProtection="0">
      <alignment horizontal="right" vertical="center"/>
    </xf>
    <xf numFmtId="180" fontId="222" fillId="115" borderId="0" applyBorder="0" applyProtection="0">
      <alignment horizontal="centerContinuous" vertical="center"/>
    </xf>
    <xf numFmtId="180" fontId="222" fillId="114" borderId="11"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2"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5" applyNumberFormat="0" applyFont="0" applyFill="0" applyAlignment="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10" fillId="0" borderId="57"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4" fillId="0" borderId="0" applyNumberFormat="0" applyFont="0" applyFill="0" applyBorder="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10" fillId="0" borderId="57"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8"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58" applyNumberFormat="0" applyFill="0" applyAlignment="0" applyProtection="0"/>
    <xf numFmtId="189" fontId="234" fillId="0" borderId="58" applyNumberFormat="0" applyFill="0" applyAlignment="0" applyProtection="0"/>
    <xf numFmtId="0" fontId="4" fillId="0" borderId="0" applyNumberFormat="0" applyFont="0" applyFill="0" applyBorder="0" applyAlignment="0" applyProtection="0"/>
    <xf numFmtId="37" fontId="59" fillId="0" borderId="59" applyNumberFormat="0" applyFill="0"/>
    <xf numFmtId="315" fontId="87" fillId="0" borderId="60" applyAlignment="0"/>
    <xf numFmtId="316" fontId="87" fillId="0" borderId="60" applyAlignment="0"/>
    <xf numFmtId="173" fontId="46" fillId="0" borderId="60"/>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5" applyProtection="0"/>
    <xf numFmtId="4" fontId="46" fillId="0" borderId="0">
      <protection locked="0"/>
    </xf>
    <xf numFmtId="343" fontId="187" fillId="46" borderId="12"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28">
      <alignment vertical="center"/>
    </xf>
    <xf numFmtId="167" fontId="2" fillId="3" borderId="28">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28">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19" borderId="0" applyNumberFormat="0" applyBorder="0" applyAlignment="0" applyProtection="0"/>
    <xf numFmtId="353" fontId="13" fillId="119"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0" borderId="0" applyNumberFormat="0" applyBorder="0" applyAlignment="0" applyProtection="0"/>
    <xf numFmtId="353" fontId="13" fillId="120"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0" borderId="0" applyNumberFormat="0" applyBorder="0" applyAlignment="0" applyProtection="0"/>
    <xf numFmtId="353" fontId="56" fillId="120" borderId="0" applyNumberFormat="0" applyBorder="0" applyAlignment="0" applyProtection="0"/>
    <xf numFmtId="353" fontId="56" fillId="121" borderId="0" applyNumberFormat="0" applyBorder="0" applyAlignment="0" applyProtection="0"/>
    <xf numFmtId="353" fontId="56" fillId="121"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2"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3"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5" borderId="0" applyNumberFormat="0" applyBorder="0" applyAlignment="0" applyProtection="0"/>
    <xf numFmtId="353" fontId="9" fillId="125"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9" fillId="122"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6"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247" fillId="13" borderId="0" applyNumberFormat="0" applyBorder="0" applyAlignment="0" applyProtection="0"/>
    <xf numFmtId="353" fontId="247" fillId="13" borderId="0" applyNumberFormat="0" applyBorder="0" applyAlignment="0" applyProtection="0"/>
    <xf numFmtId="353" fontId="248" fillId="128" borderId="119" applyNumberFormat="0" applyAlignment="0" applyProtection="0"/>
    <xf numFmtId="353" fontId="248" fillId="128" borderId="119" applyNumberFormat="0" applyAlignment="0" applyProtection="0"/>
    <xf numFmtId="353" fontId="85" fillId="125" borderId="17" applyNumberFormat="0" applyAlignment="0" applyProtection="0"/>
    <xf numFmtId="353" fontId="85" fillId="125" borderId="17" applyNumberFormat="0" applyAlignment="0" applyProtection="0"/>
    <xf numFmtId="37" fontId="59" fillId="0" borderId="91">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29" borderId="0" applyNumberFormat="0" applyBorder="0" applyAlignment="0" applyProtection="0"/>
    <xf numFmtId="353" fontId="10" fillId="130"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49" fillId="0" borderId="0" applyNumberFormat="0" applyFill="0" applyBorder="0" applyAlignment="0" applyProtection="0"/>
    <xf numFmtId="353" fontId="249"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1" applyNumberFormat="0" applyFill="0" applyAlignment="0" applyProtection="0"/>
    <xf numFmtId="353" fontId="117" fillId="0" borderId="31" applyNumberFormat="0" applyFill="0" applyAlignment="0" applyProtection="0"/>
    <xf numFmtId="353" fontId="120" fillId="0" borderId="120" applyNumberFormat="0" applyFill="0" applyAlignment="0" applyProtection="0"/>
    <xf numFmtId="353" fontId="120" fillId="0" borderId="120" applyNumberFormat="0" applyFill="0" applyAlignment="0" applyProtection="0"/>
    <xf numFmtId="353" fontId="123" fillId="0" borderId="121" applyNumberFormat="0" applyFill="0" applyAlignment="0" applyProtection="0"/>
    <xf numFmtId="353" fontId="123" fillId="0" borderId="121"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19" applyNumberFormat="0" applyAlignment="0" applyProtection="0"/>
    <xf numFmtId="353" fontId="137" fillId="14" borderId="119" applyNumberFormat="0" applyAlignment="0" applyProtection="0"/>
    <xf numFmtId="353" fontId="140" fillId="34" borderId="0"/>
    <xf numFmtId="353" fontId="113" fillId="0" borderId="122" applyNumberFormat="0" applyFill="0" applyAlignment="0" applyProtection="0"/>
    <xf numFmtId="353" fontId="113" fillId="0" borderId="122"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79" fillId="128" borderId="123" applyNumberFormat="0" applyAlignment="0" applyProtection="0"/>
    <xf numFmtId="353" fontId="179" fillId="128" borderId="12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28">
      <alignment vertical="center"/>
    </xf>
    <xf numFmtId="167" fontId="19" fillId="90" borderId="28">
      <alignment vertical="center"/>
    </xf>
    <xf numFmtId="167" fontId="19" fillId="90" borderId="28">
      <alignment vertical="center"/>
    </xf>
    <xf numFmtId="353" fontId="19" fillId="90" borderId="28">
      <alignment vertical="center"/>
    </xf>
    <xf numFmtId="353" fontId="19" fillId="90" borderId="28">
      <alignment vertical="center"/>
    </xf>
    <xf numFmtId="353" fontId="19" fillId="90" borderId="28">
      <alignment vertical="center"/>
    </xf>
    <xf numFmtId="353" fontId="19" fillId="90" borderId="28">
      <alignment vertical="center"/>
    </xf>
    <xf numFmtId="171" fontId="19" fillId="90" borderId="28">
      <alignment vertical="center"/>
    </xf>
    <xf numFmtId="171" fontId="19" fillId="90" borderId="28">
      <alignment vertical="center"/>
    </xf>
    <xf numFmtId="330" fontId="19" fillId="90" borderId="28">
      <alignment vertical="center"/>
    </xf>
    <xf numFmtId="353" fontId="192" fillId="0" borderId="0"/>
    <xf numFmtId="353" fontId="19" fillId="36" borderId="28">
      <alignment vertical="center"/>
      <protection locked="0"/>
    </xf>
    <xf numFmtId="353" fontId="19" fillId="36" borderId="28">
      <alignment vertical="center"/>
      <protection locked="0"/>
    </xf>
    <xf numFmtId="353" fontId="19" fillId="36" borderId="28">
      <alignment vertical="center"/>
      <protection locked="0"/>
    </xf>
    <xf numFmtId="353" fontId="19" fillId="36" borderId="28">
      <alignment vertical="center"/>
      <protection locked="0"/>
    </xf>
    <xf numFmtId="330" fontId="19" fillId="38" borderId="28">
      <alignment vertical="center"/>
    </xf>
    <xf numFmtId="353" fontId="19" fillId="38" borderId="28">
      <alignment vertical="center"/>
    </xf>
    <xf numFmtId="353" fontId="19" fillId="38" borderId="28">
      <alignment vertical="center"/>
    </xf>
    <xf numFmtId="353" fontId="19" fillId="38" borderId="28">
      <alignment vertical="center"/>
    </xf>
    <xf numFmtId="353" fontId="19" fillId="38" borderId="28">
      <alignment vertical="center"/>
    </xf>
    <xf numFmtId="353" fontId="19" fillId="39" borderId="28">
      <alignment horizontal="right" vertical="center"/>
      <protection locked="0"/>
    </xf>
    <xf numFmtId="353" fontId="19" fillId="39" borderId="28">
      <alignment horizontal="right" vertical="center"/>
      <protection locked="0"/>
    </xf>
    <xf numFmtId="330" fontId="19" fillId="39" borderId="28">
      <alignment horizontal="right" vertical="center"/>
      <protection locked="0"/>
    </xf>
    <xf numFmtId="330" fontId="19" fillId="39" borderId="28">
      <alignment horizontal="right" vertical="center"/>
      <protection locked="0"/>
    </xf>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353" fontId="251" fillId="18" borderId="124" applyNumberFormat="0" applyProtection="0">
      <alignment horizontal="left" vertical="top"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2" borderId="125" applyNumberFormat="0" applyProtection="0">
      <alignment horizontal="right" vertical="center"/>
    </xf>
    <xf numFmtId="4" fontId="48" fillId="23" borderId="119" applyNumberFormat="0" applyProtection="0">
      <alignment horizontal="right" vertical="center"/>
    </xf>
    <xf numFmtId="4" fontId="48" fillId="24" borderId="119" applyNumberFormat="0" applyProtection="0">
      <alignment horizontal="right" vertical="center"/>
    </xf>
    <xf numFmtId="4" fontId="48" fillId="25" borderId="119" applyNumberFormat="0" applyProtection="0">
      <alignment horizontal="right" vertical="center"/>
    </xf>
    <xf numFmtId="4" fontId="48" fillId="26"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29" borderId="125" applyNumberFormat="0" applyProtection="0">
      <alignment horizontal="left" vertical="center" indent="1"/>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19" borderId="119" applyNumberFormat="0" applyProtection="0">
      <alignment horizontal="right" vertical="center"/>
    </xf>
    <xf numFmtId="4" fontId="48" fillId="30" borderId="125" applyNumberFormat="0" applyProtection="0">
      <alignment horizontal="left" vertical="center" indent="1"/>
    </xf>
    <xf numFmtId="4" fontId="48" fillId="19" borderId="125" applyNumberFormat="0" applyProtection="0">
      <alignment horizontal="left" vertical="center" indent="1"/>
    </xf>
    <xf numFmtId="353" fontId="48" fillId="61" borderId="119" applyNumberFormat="0" applyProtection="0">
      <alignment horizontal="left" vertical="center" indent="1"/>
    </xf>
    <xf numFmtId="353" fontId="4" fillId="31" borderId="124" applyNumberFormat="0" applyProtection="0">
      <alignment horizontal="left" vertical="center"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19" applyNumberFormat="0" applyProtection="0">
      <alignment horizontal="left" vertical="center"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 fillId="30" borderId="124" applyNumberFormat="0" applyProtection="0">
      <alignment horizontal="left" vertical="center"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3" borderId="51" applyNumberFormat="0">
      <protection locked="0"/>
    </xf>
    <xf numFmtId="353" fontId="4" fillId="33" borderId="28"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88" fillId="31" borderId="126" applyBorder="0"/>
    <xf numFmtId="4" fontId="252" fillId="34" borderId="124" applyNumberFormat="0" applyProtection="0">
      <alignment vertical="center"/>
    </xf>
    <xf numFmtId="4" fontId="250" fillId="36" borderId="28" applyNumberFormat="0" applyProtection="0">
      <alignment vertical="center"/>
    </xf>
    <xf numFmtId="4" fontId="252" fillId="61" borderId="124" applyNumberFormat="0" applyProtection="0">
      <alignment horizontal="left" vertical="center" indent="1"/>
    </xf>
    <xf numFmtId="353" fontId="252" fillId="34" borderId="124" applyNumberFormat="0" applyProtection="0">
      <alignment horizontal="left" vertical="top" indent="1"/>
    </xf>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353" fontId="252" fillId="19" borderId="124" applyNumberFormat="0" applyProtection="0">
      <alignment horizontal="left" vertical="top" indent="1"/>
    </xf>
    <xf numFmtId="4" fontId="253" fillId="35" borderId="125" applyNumberFormat="0" applyProtection="0">
      <alignment horizontal="left" vertical="center" indent="1"/>
    </xf>
    <xf numFmtId="353" fontId="48" fillId="109" borderId="28"/>
    <xf numFmtId="4" fontId="254" fillId="33" borderId="119"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27" applyNumberFormat="0"/>
    <xf numFmtId="353" fontId="220" fillId="0" borderId="56"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0" applyFill="0"/>
    <xf numFmtId="353" fontId="10" fillId="0" borderId="128" applyNumberFormat="0" applyFill="0" applyAlignment="0" applyProtection="0"/>
    <xf numFmtId="353" fontId="10" fillId="0" borderId="128" applyNumberFormat="0" applyFill="0" applyAlignment="0" applyProtection="0"/>
    <xf numFmtId="353" fontId="255" fillId="0" borderId="0" applyNumberFormat="0" applyFill="0" applyBorder="0" applyAlignment="0" applyProtection="0"/>
    <xf numFmtId="353" fontId="255"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28">
      <alignment vertical="center"/>
    </xf>
    <xf numFmtId="171" fontId="2" fillId="101" borderId="28">
      <alignment vertical="center"/>
    </xf>
    <xf numFmtId="330" fontId="2" fillId="101" borderId="28">
      <alignment vertical="center"/>
    </xf>
    <xf numFmtId="330" fontId="2" fillId="43" borderId="28">
      <alignment vertical="center"/>
    </xf>
    <xf numFmtId="330" fontId="2" fillId="44" borderId="28">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353" fontId="48" fillId="33" borderId="51" applyNumberFormat="0">
      <protection locked="0"/>
    </xf>
    <xf numFmtId="210" fontId="59" fillId="0" borderId="30"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24" applyNumberFormat="0" applyProtection="0">
      <alignment horizontal="left" vertical="top" indent="1"/>
    </xf>
    <xf numFmtId="353" fontId="48" fillId="30" borderId="119" applyNumberFormat="0" applyProtection="0">
      <alignment horizontal="left" vertical="center"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32" borderId="119" applyNumberFormat="0" applyProtection="0">
      <alignment horizontal="left" vertical="center"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19" borderId="125"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248" fillId="128" borderId="119" applyNumberFormat="0" applyAlignment="0" applyProtection="0"/>
    <xf numFmtId="353" fontId="248" fillId="128"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23" fillId="0" borderId="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79" fillId="128" borderId="123" applyNumberFormat="0" applyAlignment="0" applyProtection="0"/>
    <xf numFmtId="353" fontId="179" fillId="128" borderId="123" applyNumberFormat="0" applyAlignment="0" applyProtection="0"/>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5"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19" borderId="119" applyNumberFormat="0" applyProtection="0">
      <alignment horizontal="right" vertical="center"/>
    </xf>
    <xf numFmtId="353" fontId="48" fillId="61" borderId="119" applyNumberFormat="0" applyProtection="0">
      <alignment horizontal="left" vertical="center" indent="1"/>
    </xf>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353" fontId="251" fillId="18" borderId="124" applyNumberFormat="0" applyProtection="0">
      <alignment horizontal="left" vertical="top"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2" borderId="125" applyNumberFormat="0" applyProtection="0">
      <alignment horizontal="right" vertical="center"/>
    </xf>
    <xf numFmtId="4" fontId="48" fillId="23" borderId="119" applyNumberFormat="0" applyProtection="0">
      <alignment horizontal="right" vertical="center"/>
    </xf>
    <xf numFmtId="4" fontId="48" fillId="24" borderId="119" applyNumberFormat="0" applyProtection="0">
      <alignment horizontal="right" vertical="center"/>
    </xf>
    <xf numFmtId="4" fontId="48" fillId="25" borderId="119" applyNumberFormat="0" applyProtection="0">
      <alignment horizontal="right" vertical="center"/>
    </xf>
    <xf numFmtId="4" fontId="48" fillId="26"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29" borderId="125" applyNumberFormat="0" applyProtection="0">
      <alignment horizontal="left" vertical="center" indent="1"/>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19" borderId="119" applyNumberFormat="0" applyProtection="0">
      <alignment horizontal="right" vertical="center"/>
    </xf>
    <xf numFmtId="4" fontId="48" fillId="30" borderId="125" applyNumberFormat="0" applyProtection="0">
      <alignment horizontal="left" vertical="center" indent="1"/>
    </xf>
    <xf numFmtId="4" fontId="48" fillId="19" borderId="125" applyNumberFormat="0" applyProtection="0">
      <alignment horizontal="left" vertical="center" indent="1"/>
    </xf>
    <xf numFmtId="353" fontId="48" fillId="61" borderId="119" applyNumberFormat="0" applyProtection="0">
      <alignment horizontal="left" vertical="center" indent="1"/>
    </xf>
    <xf numFmtId="353" fontId="4" fillId="31" borderId="124" applyNumberFormat="0" applyProtection="0">
      <alignment horizontal="left" vertical="center"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19" applyNumberFormat="0" applyProtection="0">
      <alignment horizontal="left" vertical="center"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 fillId="30" borderId="124" applyNumberFormat="0" applyProtection="0">
      <alignment horizontal="left" vertical="center"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2" borderId="119" applyNumberFormat="0" applyProtection="0">
      <alignment horizontal="left" vertical="center" indent="1"/>
    </xf>
    <xf numFmtId="353" fontId="88" fillId="31" borderId="126" applyBorder="0"/>
    <xf numFmtId="4" fontId="252" fillId="34" borderId="124" applyNumberFormat="0" applyProtection="0">
      <alignment vertical="center"/>
    </xf>
    <xf numFmtId="4" fontId="252" fillId="61" borderId="124" applyNumberFormat="0" applyProtection="0">
      <alignment horizontal="left" vertical="center" indent="1"/>
    </xf>
    <xf numFmtId="353" fontId="252" fillId="34" borderId="124" applyNumberFormat="0" applyProtection="0">
      <alignment horizontal="left" vertical="top" indent="1"/>
    </xf>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353" fontId="252" fillId="19" borderId="124" applyNumberFormat="0" applyProtection="0">
      <alignment horizontal="left" vertical="top" indent="1"/>
    </xf>
    <xf numFmtId="4" fontId="253" fillId="35" borderId="125" applyNumberFormat="0" applyProtection="0">
      <alignment horizontal="left" vertical="center" indent="1"/>
    </xf>
    <xf numFmtId="4" fontId="254" fillId="33" borderId="119" applyNumberFormat="0" applyProtection="0">
      <alignment horizontal="right" vertical="center"/>
    </xf>
    <xf numFmtId="37" fontId="59" fillId="0" borderId="127" applyNumberFormat="0"/>
    <xf numFmtId="353" fontId="10" fillId="0" borderId="128" applyNumberFormat="0" applyFill="0" applyAlignment="0" applyProtection="0"/>
    <xf numFmtId="353" fontId="10" fillId="0" borderId="128" applyNumberFormat="0" applyFill="0" applyAlignment="0" applyProtection="0"/>
    <xf numFmtId="353" fontId="4" fillId="30" borderId="124" applyNumberFormat="0" applyProtection="0">
      <alignment horizontal="left" vertical="center"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248" fillId="128" borderId="119" applyNumberFormat="0" applyAlignment="0" applyProtection="0"/>
    <xf numFmtId="353" fontId="248" fillId="128" borderId="119" applyNumberFormat="0" applyAlignment="0" applyProtection="0"/>
    <xf numFmtId="4" fontId="48" fillId="23" borderId="119" applyNumberFormat="0" applyProtection="0">
      <alignment horizontal="right" vertical="center"/>
    </xf>
    <xf numFmtId="4" fontId="48" fillId="24" borderId="119" applyNumberFormat="0" applyProtection="0">
      <alignment horizontal="right" vertical="center"/>
    </xf>
    <xf numFmtId="353" fontId="48" fillId="83" borderId="119" applyNumberFormat="0" applyProtection="0">
      <alignment horizontal="left" vertical="center" indent="1"/>
    </xf>
    <xf numFmtId="210" fontId="59" fillId="0" borderId="30" applyFill="0"/>
    <xf numFmtId="4" fontId="48" fillId="26" borderId="119" applyNumberFormat="0" applyProtection="0">
      <alignment horizontal="right" vertical="center"/>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88" fillId="31" borderId="126" applyBorder="0"/>
    <xf numFmtId="4" fontId="252" fillId="34" borderId="124" applyNumberFormat="0" applyProtection="0">
      <alignment vertical="center"/>
    </xf>
    <xf numFmtId="4" fontId="252" fillId="61" borderId="124" applyNumberFormat="0" applyProtection="0">
      <alignment horizontal="left" vertical="center" indent="1"/>
    </xf>
    <xf numFmtId="353" fontId="252" fillId="34" borderId="124" applyNumberFormat="0" applyProtection="0">
      <alignment horizontal="left" vertical="top" indent="1"/>
    </xf>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353" fontId="252" fillId="19" borderId="124" applyNumberFormat="0" applyProtection="0">
      <alignment horizontal="left" vertical="top" indent="1"/>
    </xf>
    <xf numFmtId="4" fontId="253" fillId="35" borderId="125" applyNumberFormat="0" applyProtection="0">
      <alignment horizontal="left" vertical="center" indent="1"/>
    </xf>
    <xf numFmtId="4" fontId="254" fillId="33" borderId="119" applyNumberFormat="0" applyProtection="0">
      <alignment horizontal="right" vertical="center"/>
    </xf>
    <xf numFmtId="37" fontId="59" fillId="0" borderId="127" applyNumberFormat="0"/>
    <xf numFmtId="353" fontId="10" fillId="0" borderId="128" applyNumberFormat="0" applyFill="0" applyAlignment="0" applyProtection="0"/>
    <xf numFmtId="353" fontId="10" fillId="0" borderId="128" applyNumberFormat="0" applyFill="0" applyAlignment="0" applyProtection="0"/>
    <xf numFmtId="353" fontId="48" fillId="30" borderId="119" applyNumberFormat="0" applyProtection="0">
      <alignment horizontal="left" vertical="center" indent="1"/>
    </xf>
    <xf numFmtId="353" fontId="248" fillId="128" borderId="119" applyNumberFormat="0" applyAlignment="0" applyProtection="0"/>
    <xf numFmtId="353" fontId="248" fillId="128" borderId="119" applyNumberFormat="0" applyAlignment="0" applyProtection="0"/>
    <xf numFmtId="210" fontId="59" fillId="0" borderId="30" applyFill="0"/>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4" fontId="254" fillId="33" borderId="119" applyNumberFormat="0" applyProtection="0">
      <alignment horizontal="right" vertical="center"/>
    </xf>
    <xf numFmtId="353" fontId="248" fillId="128" borderId="119" applyNumberFormat="0" applyAlignment="0" applyProtection="0"/>
    <xf numFmtId="353" fontId="248" fillId="128"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23" fillId="0" borderId="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79" fillId="128" borderId="123" applyNumberFormat="0" applyAlignment="0" applyProtection="0"/>
    <xf numFmtId="353" fontId="179" fillId="128" borderId="123" applyNumberFormat="0" applyAlignment="0" applyProtection="0"/>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353" fontId="251" fillId="18" borderId="124" applyNumberFormat="0" applyProtection="0">
      <alignment horizontal="left" vertical="top"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2" borderId="125" applyNumberFormat="0" applyProtection="0">
      <alignment horizontal="right" vertical="center"/>
    </xf>
    <xf numFmtId="4" fontId="48" fillId="23" borderId="119" applyNumberFormat="0" applyProtection="0">
      <alignment horizontal="right" vertical="center"/>
    </xf>
    <xf numFmtId="4" fontId="48" fillId="24" borderId="119" applyNumberFormat="0" applyProtection="0">
      <alignment horizontal="right" vertical="center"/>
    </xf>
    <xf numFmtId="4" fontId="48" fillId="25" borderId="119" applyNumberFormat="0" applyProtection="0">
      <alignment horizontal="right" vertical="center"/>
    </xf>
    <xf numFmtId="4" fontId="48" fillId="26"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29" borderId="125" applyNumberFormat="0" applyProtection="0">
      <alignment horizontal="left" vertical="center" indent="1"/>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19" borderId="119" applyNumberFormat="0" applyProtection="0">
      <alignment horizontal="right" vertical="center"/>
    </xf>
    <xf numFmtId="4" fontId="48" fillId="30" borderId="125" applyNumberFormat="0" applyProtection="0">
      <alignment horizontal="left" vertical="center" indent="1"/>
    </xf>
    <xf numFmtId="4" fontId="48" fillId="19" borderId="125" applyNumberFormat="0" applyProtection="0">
      <alignment horizontal="left" vertical="center" indent="1"/>
    </xf>
    <xf numFmtId="353" fontId="48" fillId="61" borderId="119" applyNumberFormat="0" applyProtection="0">
      <alignment horizontal="left" vertical="center" indent="1"/>
    </xf>
    <xf numFmtId="353" fontId="4" fillId="31" borderId="124" applyNumberFormat="0" applyProtection="0">
      <alignment horizontal="left" vertical="center"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19" applyNumberFormat="0" applyProtection="0">
      <alignment horizontal="left" vertical="center"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 fillId="30" borderId="124" applyNumberFormat="0" applyProtection="0">
      <alignment horizontal="left" vertical="center"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88" fillId="31" borderId="126" applyBorder="0"/>
    <xf numFmtId="4" fontId="252" fillId="34" borderId="124" applyNumberFormat="0" applyProtection="0">
      <alignment vertical="center"/>
    </xf>
    <xf numFmtId="4" fontId="252" fillId="61" borderId="124" applyNumberFormat="0" applyProtection="0">
      <alignment horizontal="left" vertical="center" indent="1"/>
    </xf>
    <xf numFmtId="353" fontId="252" fillId="34" borderId="124" applyNumberFormat="0" applyProtection="0">
      <alignment horizontal="left" vertical="top" indent="1"/>
    </xf>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353" fontId="252" fillId="19" borderId="124" applyNumberFormat="0" applyProtection="0">
      <alignment horizontal="left" vertical="top" indent="1"/>
    </xf>
    <xf numFmtId="4" fontId="253" fillId="35" borderId="125" applyNumberFormat="0" applyProtection="0">
      <alignment horizontal="left" vertical="center" indent="1"/>
    </xf>
    <xf numFmtId="4" fontId="254" fillId="33" borderId="119" applyNumberFormat="0" applyProtection="0">
      <alignment horizontal="right" vertical="center"/>
    </xf>
    <xf numFmtId="37" fontId="59" fillId="0" borderId="127" applyNumberFormat="0"/>
    <xf numFmtId="353" fontId="10" fillId="0" borderId="128" applyNumberFormat="0" applyFill="0" applyAlignment="0" applyProtection="0"/>
    <xf numFmtId="353" fontId="10" fillId="0" borderId="128" applyNumberFormat="0" applyFill="0" applyAlignment="0" applyProtection="0"/>
    <xf numFmtId="210" fontId="59" fillId="0" borderId="30" applyFill="0"/>
    <xf numFmtId="353" fontId="23" fillId="0" borderId="0"/>
    <xf numFmtId="353" fontId="48" fillId="30" borderId="124" applyNumberFormat="0" applyProtection="0">
      <alignment horizontal="left" vertical="top" indent="1"/>
    </xf>
    <xf numFmtId="353" fontId="48" fillId="30" borderId="119" applyNumberFormat="0" applyProtection="0">
      <alignment horizontal="left" vertical="center"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32" borderId="119" applyNumberFormat="0" applyProtection="0">
      <alignment horizontal="left" vertical="center"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19" borderId="125"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248" fillId="128" borderId="119" applyNumberFormat="0" applyAlignment="0" applyProtection="0"/>
    <xf numFmtId="353" fontId="248" fillId="128"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23" fillId="0" borderId="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79" fillId="128" borderId="123" applyNumberFormat="0" applyAlignment="0" applyProtection="0"/>
    <xf numFmtId="353" fontId="179" fillId="128" borderId="123" applyNumberFormat="0" applyAlignment="0" applyProtection="0"/>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5"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19" borderId="119" applyNumberFormat="0" applyProtection="0">
      <alignment horizontal="right" vertical="center"/>
    </xf>
    <xf numFmtId="353" fontId="48" fillId="61" borderId="119" applyNumberFormat="0" applyProtection="0">
      <alignment horizontal="left" vertical="center" indent="1"/>
    </xf>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353" fontId="251" fillId="18" borderId="124" applyNumberFormat="0" applyProtection="0">
      <alignment horizontal="left" vertical="top"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2" borderId="125" applyNumberFormat="0" applyProtection="0">
      <alignment horizontal="right" vertical="center"/>
    </xf>
    <xf numFmtId="4" fontId="48" fillId="23" borderId="119" applyNumberFormat="0" applyProtection="0">
      <alignment horizontal="right" vertical="center"/>
    </xf>
    <xf numFmtId="4" fontId="48" fillId="24" borderId="119" applyNumberFormat="0" applyProtection="0">
      <alignment horizontal="right" vertical="center"/>
    </xf>
    <xf numFmtId="4" fontId="48" fillId="25" borderId="119" applyNumberFormat="0" applyProtection="0">
      <alignment horizontal="right" vertical="center"/>
    </xf>
    <xf numFmtId="4" fontId="48" fillId="26"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29" borderId="125" applyNumberFormat="0" applyProtection="0">
      <alignment horizontal="left" vertical="center" indent="1"/>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19" borderId="119" applyNumberFormat="0" applyProtection="0">
      <alignment horizontal="right" vertical="center"/>
    </xf>
    <xf numFmtId="4" fontId="48" fillId="30" borderId="125" applyNumberFormat="0" applyProtection="0">
      <alignment horizontal="left" vertical="center" indent="1"/>
    </xf>
    <xf numFmtId="4" fontId="48" fillId="19" borderId="125" applyNumberFormat="0" applyProtection="0">
      <alignment horizontal="left" vertical="center" indent="1"/>
    </xf>
    <xf numFmtId="353" fontId="48" fillId="61" borderId="119" applyNumberFormat="0" applyProtection="0">
      <alignment horizontal="left" vertical="center" indent="1"/>
    </xf>
    <xf numFmtId="353" fontId="4" fillId="31" borderId="124" applyNumberFormat="0" applyProtection="0">
      <alignment horizontal="left" vertical="center"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19" applyNumberFormat="0" applyProtection="0">
      <alignment horizontal="left" vertical="center"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 fillId="30" borderId="124" applyNumberFormat="0" applyProtection="0">
      <alignment horizontal="left" vertical="center"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2" borderId="119" applyNumberFormat="0" applyProtection="0">
      <alignment horizontal="left" vertical="center" indent="1"/>
    </xf>
    <xf numFmtId="353" fontId="88" fillId="31" borderId="126" applyBorder="0"/>
    <xf numFmtId="4" fontId="252" fillId="34" borderId="124" applyNumberFormat="0" applyProtection="0">
      <alignment vertical="center"/>
    </xf>
    <xf numFmtId="4" fontId="252" fillId="61" borderId="124" applyNumberFormat="0" applyProtection="0">
      <alignment horizontal="left" vertical="center" indent="1"/>
    </xf>
    <xf numFmtId="353" fontId="252" fillId="34" borderId="124" applyNumberFormat="0" applyProtection="0">
      <alignment horizontal="left" vertical="top" indent="1"/>
    </xf>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353" fontId="252" fillId="19" borderId="124" applyNumberFormat="0" applyProtection="0">
      <alignment horizontal="left" vertical="top" indent="1"/>
    </xf>
    <xf numFmtId="4" fontId="253" fillId="35" borderId="125" applyNumberFormat="0" applyProtection="0">
      <alignment horizontal="left" vertical="center" indent="1"/>
    </xf>
    <xf numFmtId="4" fontId="254" fillId="33" borderId="119" applyNumberFormat="0" applyProtection="0">
      <alignment horizontal="right" vertical="center"/>
    </xf>
    <xf numFmtId="37" fontId="59" fillId="0" borderId="127" applyNumberFormat="0"/>
    <xf numFmtId="353" fontId="10" fillId="0" borderId="128" applyNumberFormat="0" applyFill="0" applyAlignment="0" applyProtection="0"/>
    <xf numFmtId="353" fontId="10" fillId="0" borderId="128" applyNumberFormat="0" applyFill="0" applyAlignment="0" applyProtection="0"/>
    <xf numFmtId="353" fontId="4" fillId="30" borderId="124" applyNumberFormat="0" applyProtection="0">
      <alignment horizontal="left" vertical="center"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248" fillId="128" borderId="119" applyNumberFormat="0" applyAlignment="0" applyProtection="0"/>
    <xf numFmtId="353" fontId="248" fillId="128" borderId="119" applyNumberFormat="0" applyAlignment="0" applyProtection="0"/>
    <xf numFmtId="4" fontId="48" fillId="23" borderId="119" applyNumberFormat="0" applyProtection="0">
      <alignment horizontal="right" vertical="center"/>
    </xf>
    <xf numFmtId="4" fontId="48" fillId="24" borderId="119" applyNumberFormat="0" applyProtection="0">
      <alignment horizontal="right" vertical="center"/>
    </xf>
    <xf numFmtId="353" fontId="48" fillId="83" borderId="119" applyNumberFormat="0" applyProtection="0">
      <alignment horizontal="left" vertical="center" indent="1"/>
    </xf>
    <xf numFmtId="210" fontId="59" fillId="0" borderId="30" applyFill="0"/>
    <xf numFmtId="4" fontId="48" fillId="26" borderId="119" applyNumberFormat="0" applyProtection="0">
      <alignment horizontal="right" vertical="center"/>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88" fillId="31" borderId="126" applyBorder="0"/>
    <xf numFmtId="4" fontId="252" fillId="34" borderId="124" applyNumberFormat="0" applyProtection="0">
      <alignment vertical="center"/>
    </xf>
    <xf numFmtId="4" fontId="252" fillId="61" borderId="124" applyNumberFormat="0" applyProtection="0">
      <alignment horizontal="left" vertical="center" indent="1"/>
    </xf>
    <xf numFmtId="353" fontId="252" fillId="34" borderId="124" applyNumberFormat="0" applyProtection="0">
      <alignment horizontal="left" vertical="top" indent="1"/>
    </xf>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353" fontId="252" fillId="19" borderId="124" applyNumberFormat="0" applyProtection="0">
      <alignment horizontal="left" vertical="top" indent="1"/>
    </xf>
    <xf numFmtId="4" fontId="253" fillId="35" borderId="125" applyNumberFormat="0" applyProtection="0">
      <alignment horizontal="left" vertical="center" indent="1"/>
    </xf>
    <xf numFmtId="4" fontId="254" fillId="33" borderId="119" applyNumberFormat="0" applyProtection="0">
      <alignment horizontal="right" vertical="center"/>
    </xf>
    <xf numFmtId="37" fontId="59" fillId="0" borderId="127" applyNumberFormat="0"/>
    <xf numFmtId="353" fontId="10" fillId="0" borderId="128" applyNumberFormat="0" applyFill="0" applyAlignment="0" applyProtection="0"/>
    <xf numFmtId="353" fontId="10" fillId="0" borderId="128" applyNumberFormat="0" applyFill="0" applyAlignment="0" applyProtection="0"/>
    <xf numFmtId="353" fontId="48" fillId="30" borderId="119" applyNumberFormat="0" applyProtection="0">
      <alignment horizontal="left" vertical="center" indent="1"/>
    </xf>
    <xf numFmtId="353" fontId="248" fillId="128" borderId="119" applyNumberFormat="0" applyAlignment="0" applyProtection="0"/>
    <xf numFmtId="353" fontId="248" fillId="128" borderId="119" applyNumberFormat="0" applyAlignment="0" applyProtection="0"/>
    <xf numFmtId="210" fontId="59" fillId="0" borderId="30" applyFill="0"/>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4" fontId="254" fillId="33" borderId="119" applyNumberFormat="0" applyProtection="0">
      <alignment horizontal="right" vertical="center"/>
    </xf>
    <xf numFmtId="353" fontId="48" fillId="32" borderId="124" applyNumberFormat="0" applyProtection="0">
      <alignment horizontal="left" vertical="top" indent="1"/>
    </xf>
    <xf numFmtId="4" fontId="252" fillId="61" borderId="124" applyNumberFormat="0" applyProtection="0">
      <alignment horizontal="left" vertical="center" indent="1"/>
    </xf>
    <xf numFmtId="4" fontId="252" fillId="34" borderId="124" applyNumberFormat="0" applyProtection="0">
      <alignment vertical="center"/>
    </xf>
    <xf numFmtId="353" fontId="4" fillId="32" borderId="124" applyNumberFormat="0" applyProtection="0">
      <alignment horizontal="left" vertical="top" indent="1"/>
    </xf>
    <xf numFmtId="353" fontId="48" fillId="32" borderId="119" applyNumberFormat="0" applyProtection="0">
      <alignment horizontal="left" vertical="center" indent="1"/>
    </xf>
    <xf numFmtId="353" fontId="48" fillId="31" borderId="124" applyNumberFormat="0" applyProtection="0">
      <alignment horizontal="left" vertical="top" indent="1"/>
    </xf>
    <xf numFmtId="353" fontId="48" fillId="13" borderId="119" applyNumberFormat="0" applyFont="0" applyAlignment="0" applyProtection="0"/>
    <xf numFmtId="353" fontId="48" fillId="30" borderId="124" applyNumberFormat="0" applyProtection="0">
      <alignment horizontal="left" vertical="top" indent="1"/>
    </xf>
    <xf numFmtId="353" fontId="48" fillId="19" borderId="124" applyNumberFormat="0" applyProtection="0">
      <alignment horizontal="left" vertical="top" indent="1"/>
    </xf>
    <xf numFmtId="353" fontId="248" fillId="128" borderId="119" applyNumberFormat="0" applyAlignment="0" applyProtection="0"/>
    <xf numFmtId="353" fontId="10" fillId="0" borderId="128" applyNumberFormat="0" applyFill="0" applyAlignment="0" applyProtection="0"/>
    <xf numFmtId="353" fontId="10" fillId="0" borderId="128" applyNumberFormat="0" applyFill="0" applyAlignment="0" applyProtection="0"/>
    <xf numFmtId="37" fontId="59" fillId="0" borderId="127" applyNumberFormat="0"/>
    <xf numFmtId="4" fontId="254" fillId="33" borderId="119" applyNumberFormat="0" applyProtection="0">
      <alignment horizontal="right" vertical="center"/>
    </xf>
    <xf numFmtId="4" fontId="253" fillId="35" borderId="125" applyNumberFormat="0" applyProtection="0">
      <alignment horizontal="left" vertical="center" indent="1"/>
    </xf>
    <xf numFmtId="353" fontId="252" fillId="19" borderId="124" applyNumberFormat="0" applyProtection="0">
      <alignment horizontal="left" vertical="top" indent="1"/>
    </xf>
    <xf numFmtId="4" fontId="48" fillId="64" borderId="119" applyNumberFormat="0" applyProtection="0">
      <alignment horizontal="left" vertical="center" indent="1"/>
    </xf>
    <xf numFmtId="4" fontId="250" fillId="50" borderId="119" applyNumberFormat="0" applyProtection="0">
      <alignment horizontal="right" vertical="center"/>
    </xf>
    <xf numFmtId="4" fontId="48" fillId="0" borderId="119" applyNumberFormat="0" applyProtection="0">
      <alignment horizontal="right" vertical="center"/>
    </xf>
    <xf numFmtId="353" fontId="252" fillId="34"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19" borderId="125"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23" fillId="0" borderId="0"/>
    <xf numFmtId="353" fontId="137" fillId="14" borderId="119" applyNumberFormat="0" applyAlignment="0" applyProtection="0"/>
    <xf numFmtId="353" fontId="137" fillId="14" borderId="119" applyNumberFormat="0" applyAlignment="0" applyProtection="0"/>
    <xf numFmtId="353" fontId="248" fillId="128" borderId="119" applyNumberFormat="0" applyAlignment="0" applyProtection="0"/>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 fillId="19" borderId="124" applyNumberFormat="0" applyProtection="0">
      <alignment horizontal="left" vertical="top" indent="1"/>
    </xf>
    <xf numFmtId="353" fontId="48" fillId="31" borderId="124" applyNumberFormat="0" applyProtection="0">
      <alignment horizontal="left" vertical="top" indent="1"/>
    </xf>
    <xf numFmtId="353" fontId="88" fillId="31" borderId="126" applyBorder="0"/>
    <xf numFmtId="353" fontId="48" fillId="13" borderId="119" applyNumberFormat="0" applyFont="0" applyAlignment="0" applyProtection="0"/>
    <xf numFmtId="353" fontId="48" fillId="30" borderId="124" applyNumberFormat="0" applyProtection="0">
      <alignment horizontal="left" vertical="top" indent="1"/>
    </xf>
    <xf numFmtId="353" fontId="4" fillId="30" borderId="124" applyNumberFormat="0" applyProtection="0">
      <alignment horizontal="left" vertical="center"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252" fillId="19" borderId="124" applyNumberFormat="0" applyProtection="0">
      <alignment horizontal="left" vertical="top" indent="1"/>
    </xf>
    <xf numFmtId="353" fontId="48" fillId="30" borderId="119" applyNumberFormat="0" applyProtection="0">
      <alignment horizontal="left" vertical="center" indent="1"/>
    </xf>
    <xf numFmtId="210" fontId="59" fillId="0" borderId="30" applyFill="0"/>
    <xf numFmtId="353" fontId="248" fillId="128" borderId="119" applyNumberFormat="0" applyAlignment="0" applyProtection="0"/>
    <xf numFmtId="353" fontId="248" fillId="128" borderId="119" applyNumberFormat="0" applyAlignment="0" applyProtection="0"/>
    <xf numFmtId="353" fontId="48" fillId="31" borderId="124" applyNumberFormat="0" applyProtection="0">
      <alignment horizontal="left" vertical="top" indent="1"/>
    </xf>
    <xf numFmtId="353" fontId="48" fillId="30" borderId="124" applyNumberFormat="0" applyProtection="0">
      <alignment horizontal="left" vertical="top" indent="1"/>
    </xf>
    <xf numFmtId="164" fontId="2" fillId="0" borderId="0" applyFont="0" applyFill="0" applyBorder="0" applyAlignment="0" applyProtection="0"/>
    <xf numFmtId="353" fontId="48" fillId="30" borderId="124" applyNumberFormat="0" applyProtection="0">
      <alignment horizontal="left" vertical="top" indent="1"/>
    </xf>
    <xf numFmtId="164" fontId="1" fillId="0" borderId="0" applyFont="0" applyFill="0" applyBorder="0" applyAlignment="0" applyProtection="0"/>
    <xf numFmtId="353" fontId="88" fillId="31" borderId="126" applyBorder="0"/>
    <xf numFmtId="4" fontId="48" fillId="24" borderId="119" applyNumberFormat="0" applyProtection="0">
      <alignment horizontal="right" vertical="center"/>
    </xf>
    <xf numFmtId="353" fontId="48" fillId="13" borderId="119" applyNumberFormat="0" applyFont="0" applyAlignment="0" applyProtection="0"/>
    <xf numFmtId="4" fontId="48" fillId="19" borderId="125" applyNumberFormat="0" applyProtection="0">
      <alignment horizontal="left" vertical="center" indent="1"/>
    </xf>
    <xf numFmtId="4" fontId="48" fillId="25" borderId="119" applyNumberFormat="0" applyProtection="0">
      <alignment horizontal="right" vertical="center"/>
    </xf>
    <xf numFmtId="353" fontId="48" fillId="61" borderId="119" applyNumberFormat="0" applyProtection="0">
      <alignment horizontal="left" vertical="center" indent="1"/>
    </xf>
    <xf numFmtId="4" fontId="253" fillId="35" borderId="125" applyNumberFormat="0" applyProtection="0">
      <alignment horizontal="left" vertical="center" indent="1"/>
    </xf>
    <xf numFmtId="353" fontId="252" fillId="19" borderId="124" applyNumberFormat="0" applyProtection="0">
      <alignment horizontal="left" vertical="top" indent="1"/>
    </xf>
    <xf numFmtId="4" fontId="250" fillId="50" borderId="119" applyNumberFormat="0" applyProtection="0">
      <alignment horizontal="right" vertical="center"/>
    </xf>
    <xf numFmtId="4" fontId="48" fillId="0" borderId="119" applyNumberFormat="0" applyProtection="0">
      <alignment horizontal="right" vertical="center"/>
    </xf>
    <xf numFmtId="353" fontId="252" fillId="34" borderId="124" applyNumberFormat="0" applyProtection="0">
      <alignment horizontal="left" vertical="top" indent="1"/>
    </xf>
    <xf numFmtId="4" fontId="252" fillId="34" borderId="124" applyNumberFormat="0" applyProtection="0">
      <alignment vertical="center"/>
    </xf>
    <xf numFmtId="353" fontId="88" fillId="31" borderId="126" applyBorder="0"/>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210" fontId="59" fillId="0" borderId="30" applyFill="0"/>
    <xf numFmtId="353" fontId="48" fillId="83" borderId="119" applyNumberFormat="0" applyProtection="0">
      <alignment horizontal="left" vertical="center" indent="1"/>
    </xf>
    <xf numFmtId="4" fontId="48" fillId="23" borderId="119" applyNumberFormat="0" applyProtection="0">
      <alignment horizontal="right" vertical="center"/>
    </xf>
    <xf numFmtId="353" fontId="248" fillId="128" borderId="119" applyNumberFormat="0" applyAlignment="0" applyProtection="0"/>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 fillId="30" borderId="124" applyNumberFormat="0" applyProtection="0">
      <alignment horizontal="left" vertical="center" indent="1"/>
    </xf>
    <xf numFmtId="353" fontId="10" fillId="0" borderId="128" applyNumberFormat="0" applyFill="0" applyAlignment="0" applyProtection="0"/>
    <xf numFmtId="353" fontId="10" fillId="0" borderId="128" applyNumberFormat="0" applyFill="0" applyAlignment="0" applyProtection="0"/>
    <xf numFmtId="37" fontId="59" fillId="0" borderId="127" applyNumberFormat="0"/>
    <xf numFmtId="4" fontId="254" fillId="33" borderId="119" applyNumberFormat="0" applyProtection="0">
      <alignment horizontal="right" vertical="center"/>
    </xf>
    <xf numFmtId="4" fontId="253" fillId="35" borderId="125" applyNumberFormat="0" applyProtection="0">
      <alignment horizontal="left" vertical="center" indent="1"/>
    </xf>
    <xf numFmtId="353" fontId="252" fillId="19" borderId="124" applyNumberFormat="0" applyProtection="0">
      <alignment horizontal="left" vertical="top" indent="1"/>
    </xf>
    <xf numFmtId="4" fontId="48" fillId="64" borderId="119" applyNumberFormat="0" applyProtection="0">
      <alignment horizontal="left" vertical="center" indent="1"/>
    </xf>
    <xf numFmtId="4" fontId="250" fillId="50" borderId="119" applyNumberFormat="0" applyProtection="0">
      <alignment horizontal="right" vertical="center"/>
    </xf>
    <xf numFmtId="4" fontId="48" fillId="0" borderId="119" applyNumberFormat="0" applyProtection="0">
      <alignment horizontal="right" vertical="center"/>
    </xf>
    <xf numFmtId="353" fontId="252" fillId="34" borderId="124" applyNumberFormat="0" applyProtection="0">
      <alignment horizontal="left" vertical="top" indent="1"/>
    </xf>
    <xf numFmtId="4" fontId="252" fillId="61" borderId="124" applyNumberFormat="0" applyProtection="0">
      <alignment horizontal="left" vertical="center" indent="1"/>
    </xf>
    <xf numFmtId="4" fontId="252" fillId="34" borderId="124" applyNumberFormat="0" applyProtection="0">
      <alignment vertical="center"/>
    </xf>
    <xf numFmtId="353" fontId="88" fillId="31" borderId="126" applyBorder="0"/>
    <xf numFmtId="353" fontId="48" fillId="32" borderId="119" applyNumberFormat="0" applyProtection="0">
      <alignment horizontal="left" vertical="center"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center" indent="1"/>
    </xf>
    <xf numFmtId="353" fontId="48" fillId="30" borderId="119" applyNumberFormat="0" applyProtection="0">
      <alignment horizontal="left" vertical="center"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32" borderId="119" applyNumberFormat="0" applyProtection="0">
      <alignment horizontal="left" vertical="center"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248" fillId="128" borderId="119" applyNumberFormat="0" applyAlignment="0" applyProtection="0"/>
    <xf numFmtId="353" fontId="248" fillId="128" borderId="119"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79" fillId="128" borderId="123" applyNumberFormat="0" applyAlignment="0" applyProtection="0"/>
    <xf numFmtId="353" fontId="179" fillId="128" borderId="123" applyNumberFormat="0" applyAlignment="0" applyProtection="0"/>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353" fontId="251" fillId="18" borderId="124" applyNumberFormat="0" applyProtection="0">
      <alignment horizontal="left" vertical="top"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2" borderId="125" applyNumberFormat="0" applyProtection="0">
      <alignment horizontal="right" vertical="center"/>
    </xf>
    <xf numFmtId="4" fontId="48" fillId="23" borderId="119" applyNumberFormat="0" applyProtection="0">
      <alignment horizontal="right" vertical="center"/>
    </xf>
    <xf numFmtId="4" fontId="48" fillId="24" borderId="119" applyNumberFormat="0" applyProtection="0">
      <alignment horizontal="right" vertical="center"/>
    </xf>
    <xf numFmtId="4" fontId="48" fillId="25" borderId="119" applyNumberFormat="0" applyProtection="0">
      <alignment horizontal="right" vertical="center"/>
    </xf>
    <xf numFmtId="4" fontId="48" fillId="26"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29" borderId="125" applyNumberFormat="0" applyProtection="0">
      <alignment horizontal="left" vertical="center" indent="1"/>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19" borderId="119" applyNumberFormat="0" applyProtection="0">
      <alignment horizontal="right" vertical="center"/>
    </xf>
    <xf numFmtId="4" fontId="48" fillId="30" borderId="125" applyNumberFormat="0" applyProtection="0">
      <alignment horizontal="left" vertical="center" indent="1"/>
    </xf>
    <xf numFmtId="4" fontId="48" fillId="19" borderId="125" applyNumberFormat="0" applyProtection="0">
      <alignment horizontal="left" vertical="center" indent="1"/>
    </xf>
    <xf numFmtId="353" fontId="48" fillId="61" borderId="119" applyNumberFormat="0" applyProtection="0">
      <alignment horizontal="left" vertical="center" indent="1"/>
    </xf>
    <xf numFmtId="353" fontId="4" fillId="31" borderId="124" applyNumberFormat="0" applyProtection="0">
      <alignment horizontal="left" vertical="center"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19" applyNumberFormat="0" applyProtection="0">
      <alignment horizontal="left" vertical="center"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252" fillId="19"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center" indent="1"/>
    </xf>
    <xf numFmtId="353" fontId="48" fillId="30" borderId="119" applyNumberFormat="0" applyProtection="0">
      <alignment horizontal="left" vertical="center"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32" borderId="119" applyNumberFormat="0" applyProtection="0">
      <alignment horizontal="left" vertical="center" indent="1"/>
    </xf>
    <xf numFmtId="164" fontId="8" fillId="0" borderId="0" applyFont="0" applyFill="0" applyBorder="0" applyAlignment="0" applyProtection="0"/>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24"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19" borderId="125"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4" fontId="48" fillId="0" borderId="119" applyNumberFormat="0" applyProtection="0">
      <alignment horizontal="right" vertical="center"/>
    </xf>
    <xf numFmtId="353" fontId="10" fillId="0" borderId="128" applyNumberFormat="0" applyFill="0" applyAlignment="0" applyProtection="0"/>
    <xf numFmtId="353" fontId="10" fillId="0" borderId="128" applyNumberFormat="0" applyFill="0" applyAlignment="0" applyProtection="0"/>
    <xf numFmtId="37" fontId="59" fillId="0" borderId="127" applyNumberFormat="0"/>
    <xf numFmtId="4" fontId="254" fillId="33" borderId="119" applyNumberFormat="0" applyProtection="0">
      <alignment horizontal="right" vertical="center"/>
    </xf>
    <xf numFmtId="4" fontId="253" fillId="35" borderId="125" applyNumberFormat="0" applyProtection="0">
      <alignment horizontal="left" vertical="center" indent="1"/>
    </xf>
    <xf numFmtId="4" fontId="48" fillId="64" borderId="119" applyNumberFormat="0" applyProtection="0">
      <alignment horizontal="left" vertical="center" indent="1"/>
    </xf>
    <xf numFmtId="4" fontId="250" fillId="50" borderId="119" applyNumberFormat="0" applyProtection="0">
      <alignment horizontal="right" vertical="center"/>
    </xf>
    <xf numFmtId="4" fontId="48" fillId="0" borderId="119" applyNumberFormat="0" applyProtection="0">
      <alignment horizontal="right" vertical="center"/>
    </xf>
    <xf numFmtId="353" fontId="252" fillId="34" borderId="124" applyNumberFormat="0" applyProtection="0">
      <alignment horizontal="left" vertical="top" indent="1"/>
    </xf>
    <xf numFmtId="4" fontId="252" fillId="61" borderId="124" applyNumberFormat="0" applyProtection="0">
      <alignment horizontal="left" vertical="center" indent="1"/>
    </xf>
    <xf numFmtId="4" fontId="252" fillId="34" borderId="124" applyNumberFormat="0" applyProtection="0">
      <alignment vertical="center"/>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4" fontId="48" fillId="26" borderId="119" applyNumberFormat="0" applyProtection="0">
      <alignment horizontal="right" vertical="center"/>
    </xf>
    <xf numFmtId="210" fontId="59" fillId="0" borderId="30" applyFill="0"/>
    <xf numFmtId="353" fontId="48" fillId="83" borderId="119" applyNumberFormat="0" applyProtection="0">
      <alignment horizontal="left" vertical="center" indent="1"/>
    </xf>
    <xf numFmtId="4" fontId="48" fillId="24" borderId="119" applyNumberFormat="0" applyProtection="0">
      <alignment horizontal="right" vertical="center"/>
    </xf>
    <xf numFmtId="4" fontId="48" fillId="23" borderId="119" applyNumberFormat="0" applyProtection="0">
      <alignment horizontal="right" vertical="center"/>
    </xf>
    <xf numFmtId="353" fontId="248" fillId="128" borderId="119" applyNumberFormat="0" applyAlignment="0" applyProtection="0"/>
    <xf numFmtId="353" fontId="248" fillId="128" borderId="119" applyNumberFormat="0" applyAlignment="0" applyProtection="0"/>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 fillId="30" borderId="124" applyNumberFormat="0" applyProtection="0">
      <alignment horizontal="left" vertical="center" indent="1"/>
    </xf>
    <xf numFmtId="353" fontId="10" fillId="0" borderId="128" applyNumberFormat="0" applyFill="0" applyAlignment="0" applyProtection="0"/>
    <xf numFmtId="353" fontId="10" fillId="0" borderId="128" applyNumberFormat="0" applyFill="0" applyAlignment="0" applyProtection="0"/>
    <xf numFmtId="37" fontId="59" fillId="0" borderId="127" applyNumberFormat="0"/>
    <xf numFmtId="4" fontId="254" fillId="33" borderId="119" applyNumberFormat="0" applyProtection="0">
      <alignment horizontal="right" vertical="center"/>
    </xf>
    <xf numFmtId="4" fontId="253" fillId="35" borderId="125" applyNumberFormat="0" applyProtection="0">
      <alignment horizontal="left" vertical="center" indent="1"/>
    </xf>
    <xf numFmtId="353" fontId="252" fillId="19" borderId="124" applyNumberFormat="0" applyProtection="0">
      <alignment horizontal="left" vertical="top" indent="1"/>
    </xf>
    <xf numFmtId="4" fontId="48" fillId="64" borderId="119" applyNumberFormat="0" applyProtection="0">
      <alignment horizontal="left" vertical="center" indent="1"/>
    </xf>
    <xf numFmtId="4" fontId="250" fillId="50" borderId="119" applyNumberFormat="0" applyProtection="0">
      <alignment horizontal="right" vertical="center"/>
    </xf>
    <xf numFmtId="4" fontId="48" fillId="0" borderId="119" applyNumberFormat="0" applyProtection="0">
      <alignment horizontal="right" vertical="center"/>
    </xf>
    <xf numFmtId="353" fontId="252" fillId="34" borderId="124" applyNumberFormat="0" applyProtection="0">
      <alignment horizontal="left" vertical="top" indent="1"/>
    </xf>
    <xf numFmtId="4" fontId="252" fillId="61" borderId="124" applyNumberFormat="0" applyProtection="0">
      <alignment horizontal="left" vertical="center" indent="1"/>
    </xf>
    <xf numFmtId="4" fontId="252" fillId="34" borderId="124" applyNumberFormat="0" applyProtection="0">
      <alignment vertical="center"/>
    </xf>
    <xf numFmtId="353" fontId="88" fillId="31" borderId="126" applyBorder="0"/>
    <xf numFmtId="353" fontId="48" fillId="32" borderId="119" applyNumberFormat="0" applyProtection="0">
      <alignment horizontal="left" vertical="center"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center" indent="1"/>
    </xf>
    <xf numFmtId="353" fontId="48" fillId="30" borderId="119" applyNumberFormat="0" applyProtection="0">
      <alignment horizontal="left" vertical="center"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32" borderId="119" applyNumberFormat="0" applyProtection="0">
      <alignment horizontal="left" vertical="center"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19" borderId="125"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48" fillId="61" borderId="119" applyNumberFormat="0" applyProtection="0">
      <alignment horizontal="left" vertical="center" indent="1"/>
    </xf>
    <xf numFmtId="4" fontId="48" fillId="19" borderId="119" applyNumberFormat="0" applyProtection="0">
      <alignment horizontal="right" vertical="center"/>
    </xf>
    <xf numFmtId="4" fontId="48" fillId="28" borderId="119" applyNumberFormat="0" applyProtection="0">
      <alignment horizontal="right" vertical="center"/>
    </xf>
    <xf numFmtId="4" fontId="48" fillId="27" borderId="119" applyNumberFormat="0" applyProtection="0">
      <alignment horizontal="right" vertical="center"/>
    </xf>
    <xf numFmtId="4" fontId="48" fillId="25" borderId="119"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137" fillId="14" borderId="119" applyNumberFormat="0" applyAlignment="0" applyProtection="0"/>
    <xf numFmtId="353" fontId="248" fillId="128" borderId="119" applyNumberFormat="0" applyAlignment="0" applyProtection="0"/>
    <xf numFmtId="353" fontId="248" fillId="128" borderId="119"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79" fillId="128" borderId="123" applyNumberFormat="0" applyAlignment="0" applyProtection="0"/>
    <xf numFmtId="353" fontId="179" fillId="128" borderId="123" applyNumberFormat="0" applyAlignment="0" applyProtection="0"/>
    <xf numFmtId="4" fontId="48" fillId="18" borderId="119" applyNumberFormat="0" applyProtection="0">
      <alignment vertical="center"/>
    </xf>
    <xf numFmtId="4" fontId="250" fillId="45" borderId="119" applyNumberFormat="0" applyProtection="0">
      <alignment vertical="center"/>
    </xf>
    <xf numFmtId="4" fontId="48" fillId="45" borderId="119" applyNumberFormat="0" applyProtection="0">
      <alignment horizontal="left" vertical="center" indent="1"/>
    </xf>
    <xf numFmtId="353" fontId="251" fillId="18" borderId="124" applyNumberFormat="0" applyProtection="0">
      <alignment horizontal="left" vertical="top" indent="1"/>
    </xf>
    <xf numFmtId="4" fontId="48" fillId="64" borderId="119" applyNumberFormat="0" applyProtection="0">
      <alignment horizontal="left" vertical="center" indent="1"/>
    </xf>
    <xf numFmtId="4" fontId="48" fillId="20" borderId="119" applyNumberFormat="0" applyProtection="0">
      <alignment horizontal="right" vertical="center"/>
    </xf>
    <xf numFmtId="4" fontId="48" fillId="131" borderId="119" applyNumberFormat="0" applyProtection="0">
      <alignment horizontal="right" vertical="center"/>
    </xf>
    <xf numFmtId="4" fontId="48" fillId="22" borderId="125" applyNumberFormat="0" applyProtection="0">
      <alignment horizontal="right" vertical="center"/>
    </xf>
    <xf numFmtId="4" fontId="48" fillId="23" borderId="119" applyNumberFormat="0" applyProtection="0">
      <alignment horizontal="right" vertical="center"/>
    </xf>
    <xf numFmtId="4" fontId="48" fillId="24" borderId="119" applyNumberFormat="0" applyProtection="0">
      <alignment horizontal="right" vertical="center"/>
    </xf>
    <xf numFmtId="4" fontId="48" fillId="25" borderId="119" applyNumberFormat="0" applyProtection="0">
      <alignment horizontal="right" vertical="center"/>
    </xf>
    <xf numFmtId="4" fontId="48" fillId="26" borderId="119" applyNumberFormat="0" applyProtection="0">
      <alignment horizontal="right" vertical="center"/>
    </xf>
    <xf numFmtId="4" fontId="48" fillId="27" borderId="119" applyNumberFormat="0" applyProtection="0">
      <alignment horizontal="right" vertical="center"/>
    </xf>
    <xf numFmtId="4" fontId="48" fillId="28" borderId="119" applyNumberFormat="0" applyProtection="0">
      <alignment horizontal="right" vertical="center"/>
    </xf>
    <xf numFmtId="4" fontId="48" fillId="29" borderId="125" applyNumberFormat="0" applyProtection="0">
      <alignment horizontal="left" vertical="center" indent="1"/>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19" borderId="119" applyNumberFormat="0" applyProtection="0">
      <alignment horizontal="right" vertical="center"/>
    </xf>
    <xf numFmtId="4" fontId="48" fillId="30" borderId="125" applyNumberFormat="0" applyProtection="0">
      <alignment horizontal="left" vertical="center" indent="1"/>
    </xf>
    <xf numFmtId="4" fontId="48" fillId="19" borderId="125" applyNumberFormat="0" applyProtection="0">
      <alignment horizontal="left" vertical="center" indent="1"/>
    </xf>
    <xf numFmtId="353" fontId="48" fillId="61" borderId="119" applyNumberFormat="0" applyProtection="0">
      <alignment horizontal="left" vertical="center" indent="1"/>
    </xf>
    <xf numFmtId="353" fontId="4" fillId="31" borderId="124" applyNumberFormat="0" applyProtection="0">
      <alignment horizontal="left" vertical="center"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19" applyNumberFormat="0" applyProtection="0">
      <alignment horizontal="left" vertical="center"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8" fillId="30" borderId="124" applyNumberFormat="0" applyProtection="0">
      <alignment horizontal="left" vertical="top" indent="1"/>
    </xf>
    <xf numFmtId="4" fontId="252" fillId="61" borderId="124" applyNumberFormat="0" applyProtection="0">
      <alignment horizontal="left" vertical="center" indent="1"/>
    </xf>
    <xf numFmtId="210" fontId="59" fillId="0" borderId="30" applyFill="0"/>
    <xf numFmtId="353" fontId="48" fillId="30" borderId="124" applyNumberFormat="0" applyProtection="0">
      <alignment horizontal="left" vertical="top" indent="1"/>
    </xf>
    <xf numFmtId="353" fontId="252" fillId="19" borderId="124" applyNumberFormat="0" applyProtection="0">
      <alignment horizontal="left" vertical="top" indent="1"/>
    </xf>
    <xf numFmtId="353" fontId="48" fillId="32" borderId="124" applyNumberFormat="0" applyProtection="0">
      <alignment horizontal="left" vertical="top" indent="1"/>
    </xf>
    <xf numFmtId="353" fontId="48" fillId="31" borderId="124" applyNumberFormat="0" applyProtection="0">
      <alignment horizontal="left" vertical="top" indent="1"/>
    </xf>
    <xf numFmtId="4" fontId="48" fillId="27" borderId="119" applyNumberFormat="0" applyProtection="0">
      <alignment horizontal="right" vertical="center"/>
    </xf>
    <xf numFmtId="353" fontId="48" fillId="19" borderId="124" applyNumberFormat="0" applyProtection="0">
      <alignment horizontal="left" vertical="top" indent="1"/>
    </xf>
    <xf numFmtId="164" fontId="7" fillId="0" borderId="0" applyFont="0" applyFill="0" applyBorder="0" applyAlignment="0" applyProtection="0"/>
    <xf numFmtId="353" fontId="48" fillId="19" borderId="124" applyNumberFormat="0" applyProtection="0">
      <alignment horizontal="left" vertical="top" indent="1"/>
    </xf>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31" borderId="124" applyNumberFormat="0" applyProtection="0">
      <alignment horizontal="left" vertical="top" indent="1"/>
    </xf>
    <xf numFmtId="4" fontId="48" fillId="64" borderId="119" applyNumberFormat="0" applyProtection="0">
      <alignment horizontal="left" vertical="center" indent="1"/>
    </xf>
    <xf numFmtId="353" fontId="48" fillId="32" borderId="124" applyNumberFormat="0" applyProtection="0">
      <alignment horizontal="left" vertical="top" indent="1"/>
    </xf>
    <xf numFmtId="353" fontId="10" fillId="0" borderId="128" applyNumberFormat="0" applyFill="0" applyAlignment="0" applyProtection="0"/>
    <xf numFmtId="353" fontId="10" fillId="0" borderId="128" applyNumberFormat="0" applyFill="0" applyAlignment="0" applyProtection="0"/>
    <xf numFmtId="4" fontId="48" fillId="28" borderId="119" applyNumberFormat="0" applyProtection="0">
      <alignment horizontal="right" vertical="center"/>
    </xf>
    <xf numFmtId="353" fontId="48" fillId="30" borderId="124" applyNumberFormat="0" applyProtection="0">
      <alignment horizontal="left" vertical="top" indent="1"/>
    </xf>
    <xf numFmtId="37" fontId="59" fillId="0" borderId="127" applyNumberFormat="0"/>
    <xf numFmtId="353" fontId="48" fillId="19" borderId="124" applyNumberFormat="0" applyProtection="0">
      <alignment horizontal="left" vertical="top" indent="1"/>
    </xf>
    <xf numFmtId="353" fontId="251" fillId="18" borderId="124" applyNumberFormat="0" applyProtection="0">
      <alignment horizontal="left" vertical="top" indent="1"/>
    </xf>
    <xf numFmtId="353" fontId="48" fillId="13" borderId="119" applyNumberFormat="0" applyFont="0" applyAlignment="0" applyProtection="0"/>
    <xf numFmtId="4" fontId="254" fillId="33" borderId="119" applyNumberFormat="0" applyProtection="0">
      <alignment horizontal="right" vertical="center"/>
    </xf>
    <xf numFmtId="4" fontId="253" fillId="35" borderId="125" applyNumberFormat="0" applyProtection="0">
      <alignment horizontal="left" vertical="center" indent="1"/>
    </xf>
    <xf numFmtId="353" fontId="252" fillId="19" borderId="124" applyNumberFormat="0" applyProtection="0">
      <alignment horizontal="left" vertical="top" indent="1"/>
    </xf>
    <xf numFmtId="4" fontId="48" fillId="64" borderId="119" applyNumberFormat="0" applyProtection="0">
      <alignment horizontal="left" vertical="center" indent="1"/>
    </xf>
    <xf numFmtId="4" fontId="250" fillId="50" borderId="119" applyNumberFormat="0" applyProtection="0">
      <alignment horizontal="right" vertical="center"/>
    </xf>
    <xf numFmtId="4" fontId="48" fillId="0" borderId="119" applyNumberFormat="0" applyProtection="0">
      <alignment horizontal="right" vertical="center"/>
    </xf>
    <xf numFmtId="353" fontId="252" fillId="34" borderId="124" applyNumberFormat="0" applyProtection="0">
      <alignment horizontal="left" vertical="top" indent="1"/>
    </xf>
    <xf numFmtId="4" fontId="252" fillId="61" borderId="124" applyNumberFormat="0" applyProtection="0">
      <alignment horizontal="left" vertical="center" indent="1"/>
    </xf>
    <xf numFmtId="4" fontId="252" fillId="34" borderId="124" applyNumberFormat="0" applyProtection="0">
      <alignment vertical="center"/>
    </xf>
    <xf numFmtId="353" fontId="88" fillId="31" borderId="126" applyBorder="0"/>
    <xf numFmtId="4" fontId="48" fillId="25" borderId="119" applyNumberFormat="0" applyProtection="0">
      <alignment horizontal="right" vertical="center"/>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center" indent="1"/>
    </xf>
    <xf numFmtId="353" fontId="48" fillId="30" borderId="119" applyNumberFormat="0" applyProtection="0">
      <alignment horizontal="left" vertical="center"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32" borderId="119" applyNumberFormat="0" applyProtection="0">
      <alignment horizontal="left" vertical="center"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19" borderId="125"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4" fontId="48" fillId="27" borderId="119" applyNumberFormat="0" applyProtection="0">
      <alignment horizontal="right" vertical="center"/>
    </xf>
    <xf numFmtId="4" fontId="48" fillId="25" borderId="119" applyNumberFormat="0" applyProtection="0">
      <alignment horizontal="right" vertical="center"/>
    </xf>
    <xf numFmtId="353" fontId="179" fillId="128" borderId="123" applyNumberFormat="0" applyAlignment="0" applyProtection="0"/>
    <xf numFmtId="353" fontId="48" fillId="61" borderId="119" applyNumberFormat="0" applyProtection="0">
      <alignment horizontal="left" vertical="center" indent="1"/>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4" fontId="48" fillId="131" borderId="119" applyNumberFormat="0" applyProtection="0">
      <alignment horizontal="right" vertical="center"/>
    </xf>
    <xf numFmtId="353" fontId="48" fillId="13" borderId="119" applyNumberFormat="0" applyFont="0" applyAlignment="0" applyProtection="0"/>
    <xf numFmtId="4" fontId="48" fillId="22" borderId="125" applyNumberFormat="0" applyProtection="0">
      <alignment horizontal="right" vertical="center"/>
    </xf>
    <xf numFmtId="353" fontId="179" fillId="128" borderId="123" applyNumberFormat="0" applyAlignment="0" applyProtection="0"/>
    <xf numFmtId="353" fontId="48" fillId="13" borderId="119" applyNumberFormat="0" applyFont="0" applyAlignment="0" applyProtection="0"/>
    <xf numFmtId="4" fontId="48" fillId="20" borderId="119" applyNumberFormat="0" applyProtection="0">
      <alignment horizontal="right" vertical="center"/>
    </xf>
    <xf numFmtId="4" fontId="48" fillId="18" borderId="119" applyNumberFormat="0" applyProtection="0">
      <alignment vertical="center"/>
    </xf>
    <xf numFmtId="4" fontId="48" fillId="24" borderId="119" applyNumberFormat="0" applyProtection="0">
      <alignment horizontal="right" vertical="center"/>
    </xf>
    <xf numFmtId="4" fontId="250" fillId="45" borderId="119" applyNumberFormat="0" applyProtection="0">
      <alignment vertical="center"/>
    </xf>
    <xf numFmtId="164" fontId="7" fillId="0" borderId="0" applyFont="0" applyFill="0" applyBorder="0" applyAlignment="0" applyProtection="0"/>
    <xf numFmtId="353" fontId="137" fillId="14" borderId="119" applyNumberFormat="0" applyAlignment="0" applyProtection="0"/>
    <xf numFmtId="353" fontId="48" fillId="61" borderId="119" applyNumberFormat="0" applyProtection="0">
      <alignment horizontal="left" vertical="center" indent="1"/>
    </xf>
    <xf numFmtId="353" fontId="48" fillId="13" borderId="119" applyNumberFormat="0" applyFont="0" applyAlignment="0" applyProtection="0"/>
    <xf numFmtId="353" fontId="137" fillId="14" borderId="119" applyNumberFormat="0" applyAlignment="0" applyProtection="0"/>
    <xf numFmtId="4" fontId="250" fillId="45" borderId="119" applyNumberFormat="0" applyProtection="0">
      <alignment vertical="center"/>
    </xf>
    <xf numFmtId="164" fontId="7" fillId="0" borderId="0" applyFont="0" applyFill="0" applyBorder="0" applyAlignment="0" applyProtection="0"/>
    <xf numFmtId="4" fontId="48" fillId="19" borderId="119" applyNumberFormat="0" applyProtection="0">
      <alignment horizontal="right" vertical="center"/>
    </xf>
    <xf numFmtId="4" fontId="48" fillId="18" borderId="119" applyNumberFormat="0" applyProtection="0">
      <alignment vertical="center"/>
    </xf>
    <xf numFmtId="4" fontId="48" fillId="18" borderId="119" applyNumberFormat="0" applyProtection="0">
      <alignment vertical="center"/>
    </xf>
    <xf numFmtId="4" fontId="48" fillId="19" borderId="119" applyNumberFormat="0" applyProtection="0">
      <alignment horizontal="right" vertical="center"/>
    </xf>
    <xf numFmtId="4" fontId="48" fillId="23" borderId="119" applyNumberFormat="0" applyProtection="0">
      <alignment horizontal="right" vertical="center"/>
    </xf>
    <xf numFmtId="353" fontId="179" fillId="128" borderId="123" applyNumberFormat="0" applyAlignment="0" applyProtection="0"/>
    <xf numFmtId="353" fontId="48" fillId="13" borderId="119" applyNumberFormat="0" applyFont="0" applyAlignment="0" applyProtection="0"/>
    <xf numFmtId="4" fontId="48" fillId="131" borderId="119" applyNumberFormat="0" applyProtection="0">
      <alignment horizontal="right" vertical="center"/>
    </xf>
    <xf numFmtId="4" fontId="48" fillId="45" borderId="119" applyNumberFormat="0" applyProtection="0">
      <alignment horizontal="left" vertical="center" indent="1"/>
    </xf>
    <xf numFmtId="353" fontId="48" fillId="32" borderId="119" applyNumberFormat="0" applyProtection="0">
      <alignment horizontal="left" vertical="center" indent="1"/>
    </xf>
    <xf numFmtId="353" fontId="48" fillId="13" borderId="119" applyNumberFormat="0" applyFont="0" applyAlignment="0" applyProtection="0"/>
    <xf numFmtId="353" fontId="88" fillId="31" borderId="126" applyBorder="0"/>
    <xf numFmtId="353" fontId="10" fillId="0" borderId="128" applyNumberFormat="0" applyFill="0" applyAlignment="0" applyProtection="0"/>
    <xf numFmtId="164" fontId="7" fillId="0" borderId="0" applyFont="0" applyFill="0" applyBorder="0" applyAlignment="0" applyProtection="0"/>
    <xf numFmtId="353" fontId="248" fillId="128" borderId="119" applyNumberFormat="0" applyAlignment="0" applyProtection="0"/>
    <xf numFmtId="4" fontId="48" fillId="24" borderId="119" applyNumberFormat="0" applyProtection="0">
      <alignment horizontal="right" vertical="center"/>
    </xf>
    <xf numFmtId="353" fontId="48" fillId="13" borderId="119" applyNumberFormat="0" applyFont="0" applyAlignment="0" applyProtection="0"/>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4" fontId="48" fillId="64" borderId="119" applyNumberFormat="0" applyProtection="0">
      <alignment horizontal="left" vertical="center" indent="1"/>
    </xf>
    <xf numFmtId="353" fontId="252" fillId="19" borderId="124" applyNumberFormat="0" applyProtection="0">
      <alignment horizontal="left" vertical="top" indent="1"/>
    </xf>
    <xf numFmtId="353" fontId="10" fillId="0" borderId="128" applyNumberFormat="0" applyFill="0" applyAlignment="0" applyProtection="0"/>
    <xf numFmtId="353" fontId="48" fillId="13" borderId="119" applyNumberFormat="0" applyFont="0" applyAlignment="0" applyProtection="0"/>
    <xf numFmtId="4" fontId="250" fillId="45" borderId="119" applyNumberFormat="0" applyProtection="0">
      <alignment vertical="center"/>
    </xf>
    <xf numFmtId="353" fontId="48" fillId="83" borderId="119" applyNumberFormat="0" applyProtection="0">
      <alignment horizontal="left" vertical="center" indent="1"/>
    </xf>
    <xf numFmtId="37" fontId="59" fillId="0" borderId="127" applyNumberFormat="0"/>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8" fillId="19" borderId="124" applyNumberFormat="0" applyProtection="0">
      <alignment horizontal="left" vertical="top" indent="1"/>
    </xf>
    <xf numFmtId="353" fontId="4" fillId="32" borderId="124" applyNumberFormat="0" applyProtection="0">
      <alignment horizontal="left" vertical="top" indent="1"/>
    </xf>
    <xf numFmtId="353" fontId="48" fillId="19" borderId="124" applyNumberFormat="0" applyProtection="0">
      <alignment horizontal="left" vertical="top" indent="1"/>
    </xf>
    <xf numFmtId="353" fontId="48" fillId="61" borderId="119" applyNumberFormat="0" applyProtection="0">
      <alignment horizontal="left" vertical="center" indent="1"/>
    </xf>
    <xf numFmtId="4" fontId="48" fillId="28" borderId="119" applyNumberFormat="0" applyProtection="0">
      <alignment horizontal="right" vertical="center"/>
    </xf>
    <xf numFmtId="4" fontId="48" fillId="131" borderId="119" applyNumberFormat="0" applyProtection="0">
      <alignment horizontal="right" vertical="center"/>
    </xf>
    <xf numFmtId="4" fontId="48" fillId="64" borderId="119" applyNumberFormat="0" applyProtection="0">
      <alignment horizontal="left" vertical="center" indent="1"/>
    </xf>
    <xf numFmtId="4" fontId="250" fillId="45" borderId="119" applyNumberFormat="0" applyProtection="0">
      <alignment vertical="center"/>
    </xf>
    <xf numFmtId="4" fontId="254" fillId="33" borderId="119" applyNumberFormat="0" applyProtection="0">
      <alignment horizontal="right" vertical="center"/>
    </xf>
    <xf numFmtId="353" fontId="48" fillId="30" borderId="124" applyNumberFormat="0" applyProtection="0">
      <alignment horizontal="left" vertical="top" indent="1"/>
    </xf>
    <xf numFmtId="353" fontId="48" fillId="30" borderId="124" applyNumberFormat="0" applyProtection="0">
      <alignment horizontal="left" vertical="top" indent="1"/>
    </xf>
    <xf numFmtId="164" fontId="7" fillId="0" borderId="0" applyFont="0" applyFill="0" applyBorder="0" applyAlignment="0" applyProtection="0"/>
    <xf numFmtId="4" fontId="48" fillId="64" borderId="119" applyNumberFormat="0" applyProtection="0">
      <alignment horizontal="left" vertical="center" indent="1"/>
    </xf>
    <xf numFmtId="4" fontId="252" fillId="61" borderId="124" applyNumberFormat="0" applyProtection="0">
      <alignment horizontal="left" vertical="center" indent="1"/>
    </xf>
    <xf numFmtId="4" fontId="48" fillId="26" borderId="119" applyNumberFormat="0" applyProtection="0">
      <alignment horizontal="right" vertical="center"/>
    </xf>
    <xf numFmtId="4" fontId="48" fillId="24" borderId="119" applyNumberFormat="0" applyProtection="0">
      <alignment horizontal="right" vertical="center"/>
    </xf>
    <xf numFmtId="353" fontId="248" fillId="128" borderId="119"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24" applyNumberFormat="0" applyProtection="0">
      <alignment horizontal="left" vertical="top" indent="1"/>
    </xf>
    <xf numFmtId="4" fontId="250" fillId="45" borderId="119" applyNumberFormat="0" applyProtection="0">
      <alignment vertical="center"/>
    </xf>
    <xf numFmtId="4" fontId="48" fillId="20" borderId="119" applyNumberFormat="0" applyProtection="0">
      <alignment horizontal="right" vertical="center"/>
    </xf>
    <xf numFmtId="353" fontId="48" fillId="61" borderId="119" applyNumberFormat="0" applyProtection="0">
      <alignment horizontal="left" vertical="center" indent="1"/>
    </xf>
    <xf numFmtId="4" fontId="48" fillId="28" borderId="119" applyNumberFormat="0" applyProtection="0">
      <alignment horizontal="right" vertical="center"/>
    </xf>
    <xf numFmtId="4" fontId="48" fillId="25" borderId="119" applyNumberFormat="0" applyProtection="0">
      <alignment horizontal="right" vertical="center"/>
    </xf>
    <xf numFmtId="4" fontId="48" fillId="131" borderId="119" applyNumberFormat="0" applyProtection="0">
      <alignment horizontal="right" vertical="center"/>
    </xf>
    <xf numFmtId="4" fontId="48" fillId="27" borderId="119" applyNumberFormat="0" applyProtection="0">
      <alignment horizontal="right" vertical="center"/>
    </xf>
    <xf numFmtId="353" fontId="48" fillId="30" borderId="124" applyNumberFormat="0" applyProtection="0">
      <alignment horizontal="left" vertical="top" indent="1"/>
    </xf>
    <xf numFmtId="353" fontId="4" fillId="30" borderId="124" applyNumberFormat="0" applyProtection="0">
      <alignment horizontal="left" vertical="center" indent="1"/>
    </xf>
    <xf numFmtId="353" fontId="48" fillId="32" borderId="119" applyNumberFormat="0" applyProtection="0">
      <alignment horizontal="left" vertical="center"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179" fillId="128" borderId="123" applyNumberFormat="0" applyAlignment="0" applyProtection="0"/>
    <xf numFmtId="4" fontId="48" fillId="19" borderId="119" applyNumberFormat="0" applyProtection="0">
      <alignment horizontal="right" vertical="center"/>
    </xf>
    <xf numFmtId="164" fontId="2" fillId="0" borderId="0" applyFont="0" applyFill="0" applyBorder="0" applyAlignment="0" applyProtection="0"/>
    <xf numFmtId="4" fontId="48" fillId="23" borderId="119" applyNumberFormat="0" applyProtection="0">
      <alignment horizontal="right" vertical="center"/>
    </xf>
    <xf numFmtId="353" fontId="4" fillId="19" borderId="124" applyNumberFormat="0" applyProtection="0">
      <alignment horizontal="left" vertical="top" indent="1"/>
    </xf>
    <xf numFmtId="353" fontId="137" fillId="14" borderId="119" applyNumberFormat="0" applyAlignment="0" applyProtection="0"/>
    <xf numFmtId="353" fontId="10" fillId="0" borderId="128" applyNumberFormat="0" applyFill="0" applyAlignment="0" applyProtection="0"/>
    <xf numFmtId="353" fontId="4" fillId="30" borderId="124" applyNumberFormat="0" applyProtection="0">
      <alignment horizontal="left" vertical="top" indent="1"/>
    </xf>
    <xf numFmtId="4" fontId="250" fillId="50" borderId="119" applyNumberFormat="0" applyProtection="0">
      <alignment horizontal="right" vertical="center"/>
    </xf>
    <xf numFmtId="4" fontId="48" fillId="45" borderId="119" applyNumberFormat="0" applyProtection="0">
      <alignment horizontal="left" vertical="center" indent="1"/>
    </xf>
    <xf numFmtId="353" fontId="48" fillId="30" borderId="124" applyNumberFormat="0" applyProtection="0">
      <alignment horizontal="left" vertical="top" indent="1"/>
    </xf>
    <xf numFmtId="4" fontId="48" fillId="64" borderId="119" applyNumberFormat="0" applyProtection="0">
      <alignment horizontal="left" vertical="center" indent="1"/>
    </xf>
    <xf numFmtId="353" fontId="48" fillId="13" borderId="119" applyNumberFormat="0" applyFont="0" applyAlignment="0" applyProtection="0"/>
    <xf numFmtId="353" fontId="48" fillId="13" borderId="119" applyNumberFormat="0" applyFont="0" applyAlignment="0" applyProtection="0"/>
    <xf numFmtId="353" fontId="248" fillId="128" borderId="119" applyNumberFormat="0" applyAlignment="0" applyProtection="0"/>
    <xf numFmtId="353" fontId="137" fillId="14" borderId="119" applyNumberFormat="0" applyAlignment="0" applyProtection="0"/>
    <xf numFmtId="353" fontId="48" fillId="13" borderId="119" applyNumberFormat="0" applyFont="0" applyAlignment="0" applyProtection="0"/>
    <xf numFmtId="353" fontId="179" fillId="128" borderId="123" applyNumberFormat="0" applyAlignment="0" applyProtection="0"/>
    <xf numFmtId="4" fontId="252" fillId="34" borderId="124" applyNumberFormat="0" applyProtection="0">
      <alignment vertical="center"/>
    </xf>
    <xf numFmtId="353" fontId="48" fillId="32" borderId="124" applyNumberFormat="0" applyProtection="0">
      <alignment horizontal="left" vertical="top" indent="1"/>
    </xf>
    <xf numFmtId="353" fontId="248" fillId="128" borderId="119" applyNumberFormat="0" applyAlignment="0" applyProtection="0"/>
    <xf numFmtId="353" fontId="48" fillId="13" borderId="119" applyNumberFormat="0" applyFont="0" applyAlignment="0" applyProtection="0"/>
    <xf numFmtId="4" fontId="48" fillId="0" borderId="119" applyNumberFormat="0" applyProtection="0">
      <alignment horizontal="right" vertical="center"/>
    </xf>
    <xf numFmtId="353" fontId="48" fillId="31" borderId="124" applyNumberFormat="0" applyProtection="0">
      <alignment horizontal="left" vertical="top" indent="1"/>
    </xf>
    <xf numFmtId="353" fontId="48" fillId="30" borderId="124" applyNumberFormat="0" applyProtection="0">
      <alignment horizontal="left" vertical="top" indent="1"/>
    </xf>
    <xf numFmtId="4" fontId="253" fillId="35" borderId="125" applyNumberFormat="0" applyProtection="0">
      <alignment horizontal="left" vertical="center" indent="1"/>
    </xf>
    <xf numFmtId="353" fontId="137" fillId="14" borderId="119" applyNumberFormat="0" applyAlignment="0" applyProtection="0"/>
    <xf numFmtId="353" fontId="48" fillId="19" borderId="124" applyNumberFormat="0" applyProtection="0">
      <alignment horizontal="left" vertical="top" indent="1"/>
    </xf>
    <xf numFmtId="353" fontId="48" fillId="30" borderId="124" applyNumberFormat="0" applyProtection="0">
      <alignment horizontal="left" vertical="top" indent="1"/>
    </xf>
    <xf numFmtId="353" fontId="48" fillId="30" borderId="119" applyNumberFormat="0" applyProtection="0">
      <alignment horizontal="left" vertical="center" indent="1"/>
    </xf>
    <xf numFmtId="4" fontId="48" fillId="20" borderId="119" applyNumberFormat="0" applyProtection="0">
      <alignment horizontal="right" vertical="center"/>
    </xf>
    <xf numFmtId="4" fontId="48" fillId="0" borderId="119" applyNumberFormat="0" applyProtection="0">
      <alignment horizontal="right" vertical="center"/>
    </xf>
    <xf numFmtId="210" fontId="59" fillId="0" borderId="30" applyFill="0"/>
    <xf numFmtId="353" fontId="48" fillId="13" borderId="119" applyNumberFormat="0" applyFont="0" applyAlignment="0" applyProtection="0"/>
    <xf numFmtId="4" fontId="48" fillId="64" borderId="119" applyNumberFormat="0" applyProtection="0">
      <alignment horizontal="left" vertical="center" indent="1"/>
    </xf>
    <xf numFmtId="353" fontId="48" fillId="13" borderId="119" applyNumberFormat="0" applyFont="0" applyAlignment="0" applyProtection="0"/>
    <xf numFmtId="353" fontId="48" fillId="13" borderId="119" applyNumberFormat="0" applyFont="0" applyAlignment="0" applyProtection="0"/>
    <xf numFmtId="353" fontId="48" fillId="31" borderId="124" applyNumberFormat="0" applyProtection="0">
      <alignment horizontal="left" vertical="top"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13" borderId="119" applyNumberFormat="0" applyFont="0" applyAlignment="0" applyProtection="0"/>
    <xf numFmtId="4" fontId="48" fillId="24" borderId="119" applyNumberFormat="0" applyProtection="0">
      <alignment horizontal="right" vertical="center"/>
    </xf>
    <xf numFmtId="353" fontId="48" fillId="32" borderId="124" applyNumberFormat="0" applyProtection="0">
      <alignment horizontal="left" vertical="top" indent="1"/>
    </xf>
    <xf numFmtId="4" fontId="48" fillId="64" borderId="119" applyNumberFormat="0" applyProtection="0">
      <alignment horizontal="left" vertical="center" indent="1"/>
    </xf>
    <xf numFmtId="353" fontId="48" fillId="31" borderId="124" applyNumberFormat="0" applyProtection="0">
      <alignment horizontal="left" vertical="top" indent="1"/>
    </xf>
    <xf numFmtId="353" fontId="248" fillId="128" borderId="119" applyNumberFormat="0" applyAlignment="0" applyProtection="0"/>
    <xf numFmtId="4" fontId="252" fillId="61" borderId="124" applyNumberFormat="0" applyProtection="0">
      <alignment horizontal="left" vertical="center" indent="1"/>
    </xf>
    <xf numFmtId="353" fontId="10" fillId="0" borderId="128" applyNumberFormat="0" applyFill="0" applyAlignment="0" applyProtection="0"/>
    <xf numFmtId="353" fontId="48" fillId="13" borderId="119" applyNumberFormat="0" applyFont="0" applyAlignment="0" applyProtection="0"/>
    <xf numFmtId="353" fontId="48" fillId="31" borderId="124" applyNumberFormat="0" applyProtection="0">
      <alignment horizontal="left" vertical="top" indent="1"/>
    </xf>
    <xf numFmtId="4" fontId="48" fillId="64" borderId="119" applyNumberFormat="0" applyProtection="0">
      <alignment horizontal="left" vertical="center" indent="1"/>
    </xf>
    <xf numFmtId="353" fontId="248" fillId="128" borderId="119" applyNumberFormat="0" applyAlignment="0" applyProtection="0"/>
    <xf numFmtId="4" fontId="254" fillId="33" borderId="119" applyNumberFormat="0" applyProtection="0">
      <alignment horizontal="right" vertical="center"/>
    </xf>
    <xf numFmtId="353" fontId="88" fillId="31" borderId="126" applyBorder="0"/>
    <xf numFmtId="353" fontId="48" fillId="13" borderId="119" applyNumberFormat="0" applyFont="0" applyAlignment="0" applyProtection="0"/>
    <xf numFmtId="4" fontId="48" fillId="64" borderId="119" applyNumberFormat="0" applyProtection="0">
      <alignment horizontal="left" vertical="center"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13" borderId="119" applyNumberFormat="0" applyFont="0" applyAlignment="0" applyProtection="0"/>
    <xf numFmtId="353" fontId="179" fillId="128" borderId="123" applyNumberFormat="0" applyAlignment="0" applyProtection="0"/>
    <xf numFmtId="4" fontId="48" fillId="20" borderId="119" applyNumberFormat="0" applyProtection="0">
      <alignment horizontal="right" vertical="center"/>
    </xf>
    <xf numFmtId="353" fontId="48" fillId="31" borderId="124" applyNumberFormat="0" applyProtection="0">
      <alignment horizontal="left" vertical="top" indent="1"/>
    </xf>
    <xf numFmtId="353" fontId="88" fillId="31" borderId="126" applyBorder="0"/>
    <xf numFmtId="4" fontId="48" fillId="28" borderId="119" applyNumberFormat="0" applyProtection="0">
      <alignment horizontal="right" vertical="center"/>
    </xf>
    <xf numFmtId="353" fontId="48" fillId="31" borderId="124" applyNumberFormat="0" applyProtection="0">
      <alignment horizontal="left" vertical="top" indent="1"/>
    </xf>
    <xf numFmtId="353" fontId="48" fillId="30" borderId="124" applyNumberFormat="0" applyProtection="0">
      <alignment horizontal="left" vertical="top" indent="1"/>
    </xf>
    <xf numFmtId="4" fontId="48" fillId="26" borderId="119" applyNumberFormat="0" applyProtection="0">
      <alignment horizontal="right" vertical="center"/>
    </xf>
    <xf numFmtId="353" fontId="48" fillId="32" borderId="124" applyNumberFormat="0" applyProtection="0">
      <alignment horizontal="left" vertical="top" indent="1"/>
    </xf>
    <xf numFmtId="353" fontId="4" fillId="32" borderId="124" applyNumberFormat="0" applyProtection="0">
      <alignment horizontal="left" vertical="center" indent="1"/>
    </xf>
    <xf numFmtId="4" fontId="48" fillId="0" borderId="119" applyNumberFormat="0" applyProtection="0">
      <alignment horizontal="right" vertical="center"/>
    </xf>
    <xf numFmtId="353" fontId="48" fillId="19" borderId="124" applyNumberFormat="0" applyProtection="0">
      <alignment horizontal="left" vertical="top" indent="1"/>
    </xf>
    <xf numFmtId="353" fontId="248" fillId="128" borderId="119" applyNumberFormat="0" applyAlignment="0" applyProtection="0"/>
    <xf numFmtId="353" fontId="137" fillId="14" borderId="119" applyNumberFormat="0" applyAlignment="0" applyProtection="0"/>
    <xf numFmtId="4" fontId="48" fillId="45" borderId="119" applyNumberFormat="0" applyProtection="0">
      <alignment horizontal="left" vertical="center" indent="1"/>
    </xf>
    <xf numFmtId="4" fontId="252" fillId="61" borderId="124" applyNumberFormat="0" applyProtection="0">
      <alignment horizontal="left" vertical="center" indent="1"/>
    </xf>
    <xf numFmtId="4" fontId="48" fillId="28" borderId="119" applyNumberFormat="0" applyProtection="0">
      <alignment horizontal="right" vertical="center"/>
    </xf>
    <xf numFmtId="4" fontId="250" fillId="50" borderId="119" applyNumberFormat="0" applyProtection="0">
      <alignment horizontal="right" vertical="center"/>
    </xf>
    <xf numFmtId="353" fontId="48" fillId="13" borderId="119" applyNumberFormat="0" applyFont="0" applyAlignment="0" applyProtection="0"/>
    <xf numFmtId="353" fontId="137" fillId="14" borderId="119" applyNumberFormat="0" applyAlignment="0" applyProtection="0"/>
    <xf numFmtId="353" fontId="48" fillId="13" borderId="119" applyNumberFormat="0" applyFont="0" applyAlignment="0" applyProtection="0"/>
    <xf numFmtId="4" fontId="254" fillId="33" borderId="119" applyNumberFormat="0" applyProtection="0">
      <alignment horizontal="right" vertical="center"/>
    </xf>
    <xf numFmtId="353" fontId="248" fillId="128" borderId="119"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4" fontId="48" fillId="0" borderId="119" applyNumberFormat="0" applyProtection="0">
      <alignment horizontal="right" vertical="center"/>
    </xf>
    <xf numFmtId="164" fontId="7" fillId="0" borderId="0" applyFont="0" applyFill="0" applyBorder="0" applyAlignment="0" applyProtection="0"/>
    <xf numFmtId="353" fontId="48" fillId="13" borderId="119" applyNumberFormat="0" applyFont="0" applyAlignment="0" applyProtection="0"/>
    <xf numFmtId="353" fontId="248" fillId="128" borderId="119" applyNumberFormat="0" applyAlignment="0" applyProtection="0"/>
    <xf numFmtId="353" fontId="252" fillId="34" borderId="124" applyNumberFormat="0" applyProtection="0">
      <alignment horizontal="left" vertical="top" indent="1"/>
    </xf>
    <xf numFmtId="353" fontId="4" fillId="30" borderId="124" applyNumberFormat="0" applyProtection="0">
      <alignment horizontal="left" vertical="center" indent="1"/>
    </xf>
    <xf numFmtId="4" fontId="254" fillId="33" borderId="119" applyNumberFormat="0" applyProtection="0">
      <alignment horizontal="right" vertical="center"/>
    </xf>
    <xf numFmtId="353" fontId="48" fillId="30" borderId="119" applyNumberFormat="0" applyProtection="0">
      <alignment horizontal="left" vertical="center" indent="1"/>
    </xf>
    <xf numFmtId="353" fontId="48" fillId="83" borderId="119" applyNumberFormat="0" applyProtection="0">
      <alignment horizontal="left" vertical="center" indent="1"/>
    </xf>
    <xf numFmtId="4" fontId="48" fillId="20" borderId="119" applyNumberFormat="0" applyProtection="0">
      <alignment horizontal="right" vertical="center"/>
    </xf>
    <xf numFmtId="353" fontId="48" fillId="19" borderId="124" applyNumberFormat="0" applyProtection="0">
      <alignment horizontal="left" vertical="top" indent="1"/>
    </xf>
    <xf numFmtId="353" fontId="48" fillId="83" borderId="119" applyNumberFormat="0" applyProtection="0">
      <alignment horizontal="left" vertical="center" indent="1"/>
    </xf>
    <xf numFmtId="353" fontId="48" fillId="13" borderId="119" applyNumberFormat="0" applyFont="0" applyAlignment="0" applyProtection="0"/>
    <xf numFmtId="353" fontId="48" fillId="31" borderId="124" applyNumberFormat="0" applyProtection="0">
      <alignment horizontal="left" vertical="top" indent="1"/>
    </xf>
    <xf numFmtId="353" fontId="48" fillId="30" borderId="124" applyNumberFormat="0" applyProtection="0">
      <alignment horizontal="left" vertical="top" indent="1"/>
    </xf>
    <xf numFmtId="353" fontId="48" fillId="13" borderId="119" applyNumberFormat="0" applyFont="0" applyAlignment="0" applyProtection="0"/>
    <xf numFmtId="4" fontId="48" fillId="23" borderId="119" applyNumberFormat="0" applyProtection="0">
      <alignment horizontal="right" vertical="center"/>
    </xf>
    <xf numFmtId="353" fontId="48" fillId="32" borderId="119" applyNumberFormat="0" applyProtection="0">
      <alignment horizontal="left" vertical="center" indent="1"/>
    </xf>
    <xf numFmtId="353" fontId="48" fillId="30" borderId="124" applyNumberFormat="0" applyProtection="0">
      <alignment horizontal="left" vertical="top" indent="1"/>
    </xf>
    <xf numFmtId="4" fontId="48" fillId="19" borderId="119" applyNumberFormat="0" applyProtection="0">
      <alignment horizontal="right" vertical="center"/>
    </xf>
    <xf numFmtId="353" fontId="252" fillId="34" borderId="124" applyNumberFormat="0" applyProtection="0">
      <alignment horizontal="left" vertical="top" indent="1"/>
    </xf>
    <xf numFmtId="353" fontId="10" fillId="0" borderId="128" applyNumberFormat="0" applyFill="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31" borderId="124" applyNumberFormat="0" applyProtection="0">
      <alignment horizontal="left" vertical="top" indent="1"/>
    </xf>
    <xf numFmtId="353" fontId="48" fillId="30" borderId="124" applyNumberFormat="0" applyProtection="0">
      <alignment horizontal="left" vertical="top" indent="1"/>
    </xf>
    <xf numFmtId="37" fontId="59" fillId="0" borderId="127" applyNumberFormat="0"/>
    <xf numFmtId="353" fontId="48" fillId="19" borderId="124" applyNumberFormat="0" applyProtection="0">
      <alignment horizontal="left" vertical="top" indent="1"/>
    </xf>
    <xf numFmtId="353" fontId="48" fillId="13" borderId="119" applyNumberFormat="0" applyFont="0" applyAlignment="0" applyProtection="0"/>
    <xf numFmtId="353" fontId="48" fillId="30" borderId="124" applyNumberFormat="0" applyProtection="0">
      <alignment horizontal="left" vertical="top" indent="1"/>
    </xf>
    <xf numFmtId="353" fontId="248" fillId="128" borderId="119" applyNumberFormat="0" applyAlignment="0" applyProtection="0"/>
    <xf numFmtId="353" fontId="48" fillId="31" borderId="124" applyNumberFormat="0" applyProtection="0">
      <alignment horizontal="left" vertical="top" indent="1"/>
    </xf>
    <xf numFmtId="353" fontId="48" fillId="32" borderId="124" applyNumberFormat="0" applyProtection="0">
      <alignment horizontal="left" vertical="top" indent="1"/>
    </xf>
    <xf numFmtId="4" fontId="252" fillId="34" borderId="124" applyNumberFormat="0" applyProtection="0">
      <alignment vertical="center"/>
    </xf>
    <xf numFmtId="37" fontId="59" fillId="0" borderId="127" applyNumberFormat="0"/>
    <xf numFmtId="353" fontId="48" fillId="13" borderId="119" applyNumberFormat="0" applyFont="0" applyAlignment="0" applyProtection="0"/>
    <xf numFmtId="353" fontId="48" fillId="31" borderId="124" applyNumberFormat="0" applyProtection="0">
      <alignment horizontal="left" vertical="top" indent="1"/>
    </xf>
    <xf numFmtId="4" fontId="48" fillId="20" borderId="119" applyNumberFormat="0" applyProtection="0">
      <alignment horizontal="right" vertical="center"/>
    </xf>
    <xf numFmtId="353" fontId="137" fillId="14" borderId="119" applyNumberFormat="0" applyAlignment="0" applyProtection="0"/>
    <xf numFmtId="4" fontId="250" fillId="50" borderId="119" applyNumberFormat="0" applyProtection="0">
      <alignment horizontal="right" vertical="center"/>
    </xf>
    <xf numFmtId="353" fontId="48" fillId="31" borderId="124" applyNumberFormat="0" applyProtection="0">
      <alignment horizontal="left" vertical="top" indent="1"/>
    </xf>
    <xf numFmtId="4" fontId="253" fillId="35" borderId="125" applyNumberFormat="0" applyProtection="0">
      <alignment horizontal="left" vertical="center"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4" fontId="48" fillId="30" borderId="125" applyNumberFormat="0" applyProtection="0">
      <alignment horizontal="left" vertical="center" indent="1"/>
    </xf>
    <xf numFmtId="353" fontId="252" fillId="34" borderId="124" applyNumberFormat="0" applyProtection="0">
      <alignment horizontal="left" vertical="top" indent="1"/>
    </xf>
    <xf numFmtId="353" fontId="48" fillId="31" borderId="124" applyNumberFormat="0" applyProtection="0">
      <alignment horizontal="left" vertical="top" indent="1"/>
    </xf>
    <xf numFmtId="4" fontId="48" fillId="18" borderId="119" applyNumberFormat="0" applyProtection="0">
      <alignment vertical="center"/>
    </xf>
    <xf numFmtId="4" fontId="48" fillId="64" borderId="119" applyNumberFormat="0" applyProtection="0">
      <alignment horizontal="left" vertical="center" indent="1"/>
    </xf>
    <xf numFmtId="4" fontId="4" fillId="31" borderId="125" applyNumberFormat="0" applyProtection="0">
      <alignment horizontal="left" vertical="center" indent="1"/>
    </xf>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30" borderId="124" applyNumberFormat="0" applyProtection="0">
      <alignment horizontal="left" vertical="top" indent="1"/>
    </xf>
    <xf numFmtId="4" fontId="252" fillId="61" borderId="124" applyNumberFormat="0" applyProtection="0">
      <alignment horizontal="left" vertical="center" indent="1"/>
    </xf>
    <xf numFmtId="4" fontId="250" fillId="50" borderId="119" applyNumberFormat="0" applyProtection="0">
      <alignment horizontal="right" vertical="center"/>
    </xf>
    <xf numFmtId="353" fontId="48" fillId="13" borderId="119" applyNumberFormat="0" applyFont="0" applyAlignment="0" applyProtection="0"/>
    <xf numFmtId="353" fontId="48" fillId="30" borderId="124" applyNumberFormat="0" applyProtection="0">
      <alignment horizontal="left" vertical="top" indent="1"/>
    </xf>
    <xf numFmtId="353" fontId="48" fillId="19" borderId="124" applyNumberFormat="0" applyProtection="0">
      <alignment horizontal="left" vertical="top" indent="1"/>
    </xf>
    <xf numFmtId="4" fontId="254" fillId="33" borderId="119" applyNumberFormat="0" applyProtection="0">
      <alignment horizontal="right" vertical="center"/>
    </xf>
    <xf numFmtId="37" fontId="59" fillId="0" borderId="127" applyNumberFormat="0"/>
    <xf numFmtId="353" fontId="10" fillId="0" borderId="128" applyNumberFormat="0" applyFill="0" applyAlignment="0" applyProtection="0"/>
    <xf numFmtId="353" fontId="10" fillId="0" borderId="128" applyNumberFormat="0" applyFill="0" applyAlignment="0" applyProtection="0"/>
    <xf numFmtId="353" fontId="48" fillId="30" borderId="119" applyNumberFormat="0" applyProtection="0">
      <alignment horizontal="left" vertical="center" indent="1"/>
    </xf>
    <xf numFmtId="353" fontId="248" fillId="128" borderId="119" applyNumberFormat="0" applyAlignment="0" applyProtection="0"/>
    <xf numFmtId="353" fontId="248" fillId="128" borderId="119" applyNumberFormat="0" applyAlignment="0" applyProtection="0"/>
    <xf numFmtId="210" fontId="59" fillId="0" borderId="30" applyFill="0"/>
    <xf numFmtId="4" fontId="48" fillId="0" borderId="119" applyNumberFormat="0" applyProtection="0">
      <alignment horizontal="right" vertical="center"/>
    </xf>
    <xf numFmtId="4" fontId="250" fillId="50" borderId="119" applyNumberFormat="0" applyProtection="0">
      <alignment horizontal="right" vertical="center"/>
    </xf>
    <xf numFmtId="4" fontId="48" fillId="64" borderId="119" applyNumberFormat="0" applyProtection="0">
      <alignment horizontal="left" vertical="center" indent="1"/>
    </xf>
    <xf numFmtId="4" fontId="254" fillId="33" borderId="119" applyNumberFormat="0" applyProtection="0">
      <alignment horizontal="right" vertical="center"/>
    </xf>
    <xf numFmtId="353" fontId="48" fillId="32" borderId="124" applyNumberFormat="0" applyProtection="0">
      <alignment horizontal="left" vertical="top" indent="1"/>
    </xf>
    <xf numFmtId="4" fontId="252" fillId="61" borderId="124" applyNumberFormat="0" applyProtection="0">
      <alignment horizontal="left" vertical="center" indent="1"/>
    </xf>
    <xf numFmtId="4" fontId="252" fillId="34" borderId="124" applyNumberFormat="0" applyProtection="0">
      <alignment vertical="center"/>
    </xf>
    <xf numFmtId="353" fontId="4" fillId="32" borderId="124" applyNumberFormat="0" applyProtection="0">
      <alignment horizontal="left" vertical="top" indent="1"/>
    </xf>
    <xf numFmtId="353" fontId="48" fillId="32" borderId="119" applyNumberFormat="0" applyProtection="0">
      <alignment horizontal="left" vertical="center" indent="1"/>
    </xf>
    <xf numFmtId="353" fontId="48" fillId="31" borderId="124" applyNumberFormat="0" applyProtection="0">
      <alignment horizontal="left" vertical="top" indent="1"/>
    </xf>
    <xf numFmtId="353" fontId="48" fillId="13" borderId="119" applyNumberFormat="0" applyFont="0" applyAlignment="0" applyProtection="0"/>
    <xf numFmtId="353" fontId="48" fillId="30" borderId="124" applyNumberFormat="0" applyProtection="0">
      <alignment horizontal="left" vertical="top" indent="1"/>
    </xf>
    <xf numFmtId="353" fontId="48" fillId="19" borderId="124" applyNumberFormat="0" applyProtection="0">
      <alignment horizontal="left" vertical="top" indent="1"/>
    </xf>
    <xf numFmtId="353" fontId="248" fillId="128" borderId="119" applyNumberFormat="0" applyAlignment="0" applyProtection="0"/>
    <xf numFmtId="353" fontId="10" fillId="0" borderId="128" applyNumberFormat="0" applyFill="0" applyAlignment="0" applyProtection="0"/>
    <xf numFmtId="353" fontId="10" fillId="0" borderId="128" applyNumberFormat="0" applyFill="0" applyAlignment="0" applyProtection="0"/>
    <xf numFmtId="37" fontId="59" fillId="0" borderId="127" applyNumberFormat="0"/>
    <xf numFmtId="4" fontId="254" fillId="33" borderId="119" applyNumberFormat="0" applyProtection="0">
      <alignment horizontal="right" vertical="center"/>
    </xf>
    <xf numFmtId="4" fontId="253" fillId="35" borderId="125" applyNumberFormat="0" applyProtection="0">
      <alignment horizontal="left" vertical="center" indent="1"/>
    </xf>
    <xf numFmtId="353" fontId="252" fillId="19" borderId="124" applyNumberFormat="0" applyProtection="0">
      <alignment horizontal="left" vertical="top" indent="1"/>
    </xf>
    <xf numFmtId="4" fontId="48" fillId="64" borderId="119" applyNumberFormat="0" applyProtection="0">
      <alignment horizontal="left" vertical="center" indent="1"/>
    </xf>
    <xf numFmtId="4" fontId="250" fillId="50" borderId="119" applyNumberFormat="0" applyProtection="0">
      <alignment horizontal="right" vertical="center"/>
    </xf>
    <xf numFmtId="4" fontId="48" fillId="0" borderId="119" applyNumberFormat="0" applyProtection="0">
      <alignment horizontal="right" vertical="center"/>
    </xf>
    <xf numFmtId="353" fontId="252" fillId="34"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 fillId="30"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center"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83" borderId="119"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19" borderId="125" applyNumberFormat="0" applyProtection="0">
      <alignment horizontal="left" vertical="center" indent="1"/>
    </xf>
    <xf numFmtId="4" fontId="48" fillId="30" borderId="125" applyNumberFormat="0" applyProtection="0">
      <alignment horizontal="left" vertical="center" indent="1"/>
    </xf>
    <xf numFmtId="4" fontId="48" fillId="19" borderId="119" applyNumberFormat="0" applyProtection="0">
      <alignment horizontal="right" vertical="center"/>
    </xf>
    <xf numFmtId="4" fontId="4" fillId="31" borderId="125" applyNumberFormat="0" applyProtection="0">
      <alignment horizontal="left" vertical="center" indent="1"/>
    </xf>
    <xf numFmtId="4" fontId="4" fillId="31" borderId="125" applyNumberFormat="0" applyProtection="0">
      <alignment horizontal="left" vertical="center" indent="1"/>
    </xf>
    <xf numFmtId="4" fontId="48" fillId="29" borderId="125" applyNumberFormat="0" applyProtection="0">
      <alignment horizontal="left" vertical="center" indent="1"/>
    </xf>
    <xf numFmtId="4" fontId="48" fillId="28" borderId="119" applyNumberFormat="0" applyProtection="0">
      <alignment horizontal="right" vertical="center"/>
    </xf>
    <xf numFmtId="4" fontId="48" fillId="27" borderId="119" applyNumberFormat="0" applyProtection="0">
      <alignment horizontal="right" vertical="center"/>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22" borderId="125" applyNumberFormat="0" applyProtection="0">
      <alignment horizontal="right" vertical="center"/>
    </xf>
    <xf numFmtId="4" fontId="48" fillId="131" borderId="119" applyNumberFormat="0" applyProtection="0">
      <alignment horizontal="right" vertical="center"/>
    </xf>
    <xf numFmtId="4" fontId="48" fillId="20" borderId="119" applyNumberFormat="0" applyProtection="0">
      <alignment horizontal="right" vertical="center"/>
    </xf>
    <xf numFmtId="4" fontId="48" fillId="64" borderId="119" applyNumberFormat="0" applyProtection="0">
      <alignment horizontal="left" vertical="center" indent="1"/>
    </xf>
    <xf numFmtId="353" fontId="251" fillId="18" borderId="124" applyNumberFormat="0" applyProtection="0">
      <alignment horizontal="left" vertical="top" indent="1"/>
    </xf>
    <xf numFmtId="4" fontId="48" fillId="45" borderId="119" applyNumberFormat="0" applyProtection="0">
      <alignment horizontal="left" vertical="center" indent="1"/>
    </xf>
    <xf numFmtId="4" fontId="250" fillId="45" borderId="119" applyNumberFormat="0" applyProtection="0">
      <alignment vertical="center"/>
    </xf>
    <xf numFmtId="4" fontId="48" fillId="18" borderId="119" applyNumberFormat="0" applyProtection="0">
      <alignment vertical="center"/>
    </xf>
    <xf numFmtId="353" fontId="179" fillId="128" borderId="123" applyNumberFormat="0" applyAlignment="0" applyProtection="0"/>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37" fillId="14" borderId="119" applyNumberFormat="0" applyAlignment="0" applyProtection="0"/>
    <xf numFmtId="353" fontId="137" fillId="14" borderId="119" applyNumberFormat="0" applyAlignment="0" applyProtection="0"/>
    <xf numFmtId="353" fontId="248" fillId="128" borderId="119" applyNumberFormat="0" applyAlignment="0" applyProtection="0"/>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 fillId="19" borderId="124" applyNumberFormat="0" applyProtection="0">
      <alignment horizontal="left" vertical="top" indent="1"/>
    </xf>
    <xf numFmtId="353" fontId="48" fillId="31" borderId="124" applyNumberFormat="0" applyProtection="0">
      <alignment horizontal="left" vertical="top" indent="1"/>
    </xf>
    <xf numFmtId="353" fontId="88" fillId="31" borderId="126" applyBorder="0"/>
    <xf numFmtId="353" fontId="48" fillId="13" borderId="119" applyNumberFormat="0" applyFont="0" applyAlignment="0" applyProtection="0"/>
    <xf numFmtId="353" fontId="48" fillId="30" borderId="124" applyNumberFormat="0" applyProtection="0">
      <alignment horizontal="left" vertical="top" indent="1"/>
    </xf>
    <xf numFmtId="353" fontId="4" fillId="30" borderId="124" applyNumberFormat="0" applyProtection="0">
      <alignment horizontal="left" vertical="center"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 fillId="30" borderId="124" applyNumberFormat="0" applyProtection="0">
      <alignment horizontal="left" vertical="top" indent="1"/>
    </xf>
    <xf numFmtId="4" fontId="250" fillId="50" borderId="119" applyNumberFormat="0" applyProtection="0">
      <alignment horizontal="right" vertical="center"/>
    </xf>
    <xf numFmtId="4" fontId="48" fillId="64" borderId="119" applyNumberFormat="0" applyProtection="0">
      <alignment horizontal="left" vertical="center" indent="1"/>
    </xf>
    <xf numFmtId="353" fontId="252" fillId="19" borderId="124" applyNumberFormat="0" applyProtection="0">
      <alignment horizontal="left" vertical="top" indent="1"/>
    </xf>
    <xf numFmtId="4" fontId="253" fillId="35" borderId="125" applyNumberFormat="0" applyProtection="0">
      <alignment horizontal="left" vertical="center" indent="1"/>
    </xf>
    <xf numFmtId="37" fontId="59" fillId="0" borderId="127" applyNumberFormat="0"/>
    <xf numFmtId="353" fontId="10" fillId="0" borderId="128" applyNumberFormat="0" applyFill="0" applyAlignment="0" applyProtection="0"/>
    <xf numFmtId="353" fontId="48" fillId="32" borderId="124" applyNumberFormat="0" applyProtection="0">
      <alignment horizontal="left" vertical="top" indent="1"/>
    </xf>
    <xf numFmtId="353" fontId="48" fillId="19" borderId="124" applyNumberFormat="0" applyProtection="0">
      <alignment horizontal="left" vertical="top" indent="1"/>
    </xf>
    <xf numFmtId="4" fontId="48" fillId="23" borderId="119" applyNumberFormat="0" applyProtection="0">
      <alignment horizontal="right" vertical="center"/>
    </xf>
    <xf numFmtId="353" fontId="48" fillId="83" borderId="119" applyNumberFormat="0" applyProtection="0">
      <alignment horizontal="left" vertical="center"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4" fontId="48" fillId="64" borderId="119" applyNumberFormat="0" applyProtection="0">
      <alignment horizontal="left" vertical="center" indent="1"/>
    </xf>
    <xf numFmtId="353" fontId="48" fillId="30" borderId="119" applyNumberFormat="0" applyProtection="0">
      <alignment horizontal="left" vertical="center" indent="1"/>
    </xf>
    <xf numFmtId="210" fontId="59" fillId="0" borderId="30" applyFill="0"/>
    <xf numFmtId="4" fontId="252" fillId="34" borderId="124" applyNumberFormat="0" applyProtection="0">
      <alignment vertical="center"/>
    </xf>
    <xf numFmtId="353" fontId="10" fillId="0" borderId="128" applyNumberFormat="0" applyFill="0" applyAlignment="0" applyProtection="0"/>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353" fontId="48" fillId="61" borderId="119" applyNumberFormat="0" applyProtection="0">
      <alignment horizontal="left" vertical="center" indent="1"/>
    </xf>
    <xf numFmtId="4" fontId="48" fillId="26" borderId="119" applyNumberFormat="0" applyProtection="0">
      <alignment horizontal="right" vertical="center"/>
    </xf>
    <xf numFmtId="4" fontId="48" fillId="25" borderId="119" applyNumberFormat="0" applyProtection="0">
      <alignment horizontal="right" vertical="center"/>
    </xf>
    <xf numFmtId="4" fontId="48" fillId="24" borderId="119" applyNumberFormat="0" applyProtection="0">
      <alignment horizontal="right" vertical="center"/>
    </xf>
    <xf numFmtId="4" fontId="48" fillId="23" borderId="119" applyNumberFormat="0" applyProtection="0">
      <alignment horizontal="right" vertical="center"/>
    </xf>
    <xf numFmtId="4" fontId="48" fillId="18" borderId="119" applyNumberFormat="0" applyProtection="0">
      <alignment vertical="center"/>
    </xf>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137" fillId="14" borderId="119" applyNumberFormat="0" applyAlignment="0" applyProtection="0"/>
    <xf numFmtId="353" fontId="4" fillId="30" borderId="124" applyNumberFormat="0" applyProtection="0">
      <alignment horizontal="left" vertical="center" indent="1"/>
    </xf>
    <xf numFmtId="353" fontId="248" fillId="128" borderId="119" applyNumberFormat="0" applyAlignment="0" applyProtection="0"/>
    <xf numFmtId="353" fontId="48" fillId="30" borderId="119" applyNumberFormat="0" applyProtection="0">
      <alignment horizontal="left" vertical="center" indent="1"/>
    </xf>
    <xf numFmtId="353" fontId="48" fillId="32" borderId="124" applyNumberFormat="0" applyProtection="0">
      <alignment horizontal="left" vertical="top" indent="1"/>
    </xf>
    <xf numFmtId="37" fontId="59" fillId="0" borderId="127" applyNumberFormat="0"/>
    <xf numFmtId="353" fontId="48" fillId="13" borderId="119" applyNumberFormat="0" applyFont="0" applyAlignment="0" applyProtection="0"/>
    <xf numFmtId="4" fontId="253" fillId="35" borderId="125" applyNumberFormat="0" applyProtection="0">
      <alignment horizontal="left" vertical="center" indent="1"/>
    </xf>
    <xf numFmtId="164" fontId="7" fillId="0" borderId="0" applyFont="0" applyFill="0" applyBorder="0" applyAlignment="0" applyProtection="0"/>
    <xf numFmtId="353" fontId="48" fillId="13" borderId="119" applyNumberFormat="0" applyFont="0" applyAlignment="0" applyProtection="0"/>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4" fontId="252" fillId="34" borderId="124" applyNumberFormat="0" applyProtection="0">
      <alignment vertical="center"/>
    </xf>
    <xf numFmtId="4" fontId="254" fillId="33" borderId="119" applyNumberFormat="0" applyProtection="0">
      <alignment horizontal="right" vertical="center"/>
    </xf>
    <xf numFmtId="353" fontId="10" fillId="0" borderId="128" applyNumberFormat="0" applyFill="0" applyAlignment="0" applyProtection="0"/>
    <xf numFmtId="353" fontId="4" fillId="30" borderId="124" applyNumberFormat="0" applyProtection="0">
      <alignment horizontal="left" vertical="top" indent="1"/>
    </xf>
    <xf numFmtId="4" fontId="48" fillId="26" borderId="119" applyNumberFormat="0" applyProtection="0">
      <alignment horizontal="right" vertical="center"/>
    </xf>
    <xf numFmtId="4" fontId="254" fillId="33" borderId="119" applyNumberFormat="0" applyProtection="0">
      <alignment horizontal="right" vertical="center"/>
    </xf>
    <xf numFmtId="353" fontId="10" fillId="0" borderId="128" applyNumberFormat="0" applyFill="0" applyAlignment="0" applyProtection="0"/>
    <xf numFmtId="353" fontId="4" fillId="30" borderId="124" applyNumberFormat="0" applyProtection="0">
      <alignment horizontal="left" vertical="center" indent="1"/>
    </xf>
    <xf numFmtId="353" fontId="48" fillId="19" borderId="124" applyNumberFormat="0" applyProtection="0">
      <alignment horizontal="left" vertical="top" indent="1"/>
    </xf>
    <xf numFmtId="353" fontId="248" fillId="128" borderId="119" applyNumberFormat="0" applyAlignment="0" applyProtection="0"/>
    <xf numFmtId="4" fontId="48" fillId="24" borderId="119" applyNumberFormat="0" applyProtection="0">
      <alignment horizontal="right" vertical="center"/>
    </xf>
    <xf numFmtId="210" fontId="59" fillId="0" borderId="30" applyFill="0"/>
    <xf numFmtId="353" fontId="48" fillId="13" borderId="119" applyNumberFormat="0" applyFont="0" applyAlignment="0" applyProtection="0"/>
    <xf numFmtId="353" fontId="252" fillId="34" borderId="124" applyNumberFormat="0" applyProtection="0">
      <alignment horizontal="left" vertical="top" indent="1"/>
    </xf>
    <xf numFmtId="4" fontId="252" fillId="34" borderId="124" applyNumberFormat="0" applyProtection="0">
      <alignment vertical="center"/>
    </xf>
    <xf numFmtId="353" fontId="48" fillId="13" borderId="119" applyNumberFormat="0" applyFont="0" applyAlignment="0" applyProtection="0"/>
    <xf numFmtId="353" fontId="48" fillId="13" borderId="119" applyNumberFormat="0" applyFont="0" applyAlignment="0" applyProtection="0"/>
    <xf numFmtId="353" fontId="251" fillId="18" borderId="124" applyNumberFormat="0" applyProtection="0">
      <alignment horizontal="left" vertical="top" indent="1"/>
    </xf>
    <xf numFmtId="4" fontId="48" fillId="25" borderId="119" applyNumberFormat="0" applyProtection="0">
      <alignment horizontal="right" vertical="center"/>
    </xf>
    <xf numFmtId="4" fontId="48" fillId="19" borderId="119" applyNumberFormat="0" applyProtection="0">
      <alignment horizontal="right" vertical="center"/>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 fillId="32" borderId="124" applyNumberFormat="0" applyProtection="0">
      <alignment horizontal="left" vertical="center" indent="1"/>
    </xf>
    <xf numFmtId="353" fontId="137" fillId="14" borderId="119" applyNumberFormat="0" applyAlignment="0" applyProtection="0"/>
    <xf numFmtId="37" fontId="59" fillId="0" borderId="127" applyNumberFormat="0"/>
    <xf numFmtId="353" fontId="48" fillId="30" borderId="119" applyNumberFormat="0" applyProtection="0">
      <alignment horizontal="left" vertical="center"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 fillId="19" borderId="124" applyNumberFormat="0" applyProtection="0">
      <alignment horizontal="left" vertical="top" indent="1"/>
    </xf>
    <xf numFmtId="353" fontId="48" fillId="31" borderId="124" applyNumberFormat="0" applyProtection="0">
      <alignment horizontal="left" vertical="top" indent="1"/>
    </xf>
    <xf numFmtId="4" fontId="48" fillId="29" borderId="125" applyNumberFormat="0" applyProtection="0">
      <alignment horizontal="left" vertical="center" indent="1"/>
    </xf>
    <xf numFmtId="353" fontId="137" fillId="14" borderId="119" applyNumberFormat="0" applyAlignment="0" applyProtection="0"/>
    <xf numFmtId="4" fontId="250" fillId="50" borderId="119" applyNumberFormat="0" applyProtection="0">
      <alignment horizontal="right" vertical="center"/>
    </xf>
    <xf numFmtId="4" fontId="252" fillId="34" borderId="124" applyNumberFormat="0" applyProtection="0">
      <alignment vertical="center"/>
    </xf>
    <xf numFmtId="353" fontId="48" fillId="30" borderId="124" applyNumberFormat="0" applyProtection="0">
      <alignment horizontal="left" vertical="top" indent="1"/>
    </xf>
    <xf numFmtId="4" fontId="252" fillId="61" borderId="124" applyNumberFormat="0" applyProtection="0">
      <alignment horizontal="left" vertical="center" indent="1"/>
    </xf>
    <xf numFmtId="353" fontId="4" fillId="30" borderId="124" applyNumberFormat="0" applyProtection="0">
      <alignment horizontal="left" vertical="center" indent="1"/>
    </xf>
    <xf numFmtId="4" fontId="48" fillId="64" borderId="119" applyNumberFormat="0" applyProtection="0">
      <alignment horizontal="left" vertical="center" indent="1"/>
    </xf>
    <xf numFmtId="353" fontId="48" fillId="32" borderId="119" applyNumberFormat="0" applyProtection="0">
      <alignment horizontal="left" vertical="center"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 fillId="32" borderId="124" applyNumberFormat="0" applyProtection="0">
      <alignment horizontal="left" vertical="top" indent="1"/>
    </xf>
    <xf numFmtId="353" fontId="48" fillId="19" borderId="124" applyNumberFormat="0" applyProtection="0">
      <alignment horizontal="left" vertical="top" indent="1"/>
    </xf>
    <xf numFmtId="353" fontId="4" fillId="19" borderId="124" applyNumberFormat="0" applyProtection="0">
      <alignment horizontal="left" vertical="center"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4" fontId="48" fillId="27" borderId="119" applyNumberFormat="0" applyProtection="0">
      <alignment horizontal="right" vertical="center"/>
    </xf>
    <xf numFmtId="4" fontId="48" fillId="30" borderId="125" applyNumberFormat="0" applyProtection="0">
      <alignment horizontal="left" vertical="center" indent="1"/>
    </xf>
    <xf numFmtId="4" fontId="48" fillId="64" borderId="119" applyNumberFormat="0" applyProtection="0">
      <alignment horizontal="left" vertical="center" indent="1"/>
    </xf>
    <xf numFmtId="4" fontId="48" fillId="27" borderId="119" applyNumberFormat="0" applyProtection="0">
      <alignment horizontal="right" vertical="center"/>
    </xf>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137" fillId="14" borderId="119" applyNumberFormat="0" applyAlignment="0" applyProtection="0"/>
    <xf numFmtId="353" fontId="48" fillId="13" borderId="119" applyNumberFormat="0" applyFont="0" applyAlignment="0" applyProtection="0"/>
    <xf numFmtId="4" fontId="250" fillId="45" borderId="119" applyNumberFormat="0" applyProtection="0">
      <alignment vertical="center"/>
    </xf>
    <xf numFmtId="4" fontId="48" fillId="25" borderId="119" applyNumberFormat="0" applyProtection="0">
      <alignment horizontal="right" vertical="center"/>
    </xf>
    <xf numFmtId="4" fontId="48" fillId="19" borderId="125" applyNumberFormat="0" applyProtection="0">
      <alignment horizontal="left" vertical="center"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164" fontId="7" fillId="0" borderId="0" applyFont="0" applyFill="0" applyBorder="0" applyAlignment="0" applyProtection="0"/>
    <xf numFmtId="4" fontId="48" fillId="23" borderId="119" applyNumberFormat="0" applyProtection="0">
      <alignment horizontal="right" vertical="center"/>
    </xf>
    <xf numFmtId="164" fontId="7" fillId="0" borderId="0" applyFont="0" applyFill="0" applyBorder="0" applyAlignment="0" applyProtection="0"/>
    <xf numFmtId="353" fontId="48" fillId="13" borderId="119" applyNumberFormat="0" applyFont="0" applyAlignment="0" applyProtection="0"/>
    <xf numFmtId="4" fontId="48" fillId="18" borderId="119" applyNumberFormat="0" applyProtection="0">
      <alignment vertical="center"/>
    </xf>
    <xf numFmtId="4" fontId="250" fillId="45" borderId="119" applyNumberFormat="0" applyProtection="0">
      <alignment vertical="center"/>
    </xf>
    <xf numFmtId="4" fontId="48" fillId="25" borderId="119" applyNumberFormat="0" applyProtection="0">
      <alignment horizontal="right" vertical="center"/>
    </xf>
    <xf numFmtId="4" fontId="48" fillId="29" borderId="125" applyNumberFormat="0" applyProtection="0">
      <alignment horizontal="left" vertical="center" indent="1"/>
    </xf>
    <xf numFmtId="4" fontId="48" fillId="131" borderId="119" applyNumberFormat="0" applyProtection="0">
      <alignment horizontal="right" vertical="center"/>
    </xf>
    <xf numFmtId="4" fontId="48" fillId="19" borderId="119" applyNumberFormat="0" applyProtection="0">
      <alignment horizontal="right" vertical="center"/>
    </xf>
    <xf numFmtId="353" fontId="48" fillId="61" borderId="119" applyNumberFormat="0" applyProtection="0">
      <alignment horizontal="left" vertical="center" indent="1"/>
    </xf>
    <xf numFmtId="210" fontId="59" fillId="0" borderId="30" applyFill="0"/>
    <xf numFmtId="353" fontId="48" fillId="32" borderId="124" applyNumberFormat="0" applyProtection="0">
      <alignment horizontal="left" vertical="top" indent="1"/>
    </xf>
    <xf numFmtId="4" fontId="48" fillId="19" borderId="119" applyNumberFormat="0" applyProtection="0">
      <alignment horizontal="right" vertical="center"/>
    </xf>
    <xf numFmtId="353" fontId="179" fillId="128" borderId="123" applyNumberFormat="0" applyAlignment="0" applyProtection="0"/>
    <xf numFmtId="353" fontId="48" fillId="13" borderId="119" applyNumberFormat="0" applyFont="0" applyAlignment="0" applyProtection="0"/>
    <xf numFmtId="353" fontId="179" fillId="128" borderId="123" applyNumberFormat="0" applyAlignment="0" applyProtection="0"/>
    <xf numFmtId="353" fontId="48" fillId="61" borderId="119" applyNumberFormat="0" applyProtection="0">
      <alignment horizontal="left" vertical="center"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center" indent="1"/>
    </xf>
    <xf numFmtId="4" fontId="48" fillId="27" borderId="119" applyNumberFormat="0" applyProtection="0">
      <alignment horizontal="right" vertical="center"/>
    </xf>
    <xf numFmtId="353" fontId="251" fillId="18" borderId="124" applyNumberFormat="0" applyProtection="0">
      <alignment horizontal="left" vertical="top" indent="1"/>
    </xf>
    <xf numFmtId="353" fontId="48" fillId="13" borderId="119" applyNumberFormat="0" applyFont="0" applyAlignment="0" applyProtection="0"/>
    <xf numFmtId="353" fontId="137" fillId="14" borderId="119"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4" fontId="48" fillId="131" borderId="119" applyNumberFormat="0" applyProtection="0">
      <alignment horizontal="right" vertical="center"/>
    </xf>
    <xf numFmtId="4" fontId="48" fillId="45" borderId="119" applyNumberFormat="0" applyProtection="0">
      <alignment horizontal="left" vertical="center" indent="1"/>
    </xf>
    <xf numFmtId="4" fontId="4" fillId="31" borderId="125" applyNumberFormat="0" applyProtection="0">
      <alignment horizontal="left" vertical="center" indent="1"/>
    </xf>
    <xf numFmtId="4" fontId="48" fillId="25" borderId="119" applyNumberFormat="0" applyProtection="0">
      <alignment horizontal="right" vertical="center"/>
    </xf>
    <xf numFmtId="4" fontId="48" fillId="23" borderId="119" applyNumberFormat="0" applyProtection="0">
      <alignment horizontal="right" vertical="center"/>
    </xf>
    <xf numFmtId="353" fontId="48" fillId="31" borderId="124" applyNumberFormat="0" applyProtection="0">
      <alignment horizontal="left" vertical="top" indent="1"/>
    </xf>
    <xf numFmtId="353" fontId="248" fillId="128" borderId="119" applyNumberFormat="0" applyAlignment="0" applyProtection="0"/>
    <xf numFmtId="353" fontId="48" fillId="19" borderId="124" applyNumberFormat="0" applyProtection="0">
      <alignment horizontal="left" vertical="top"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 fillId="30" borderId="124" applyNumberFormat="0" applyProtection="0">
      <alignment horizontal="left" vertical="top" indent="1"/>
    </xf>
    <xf numFmtId="353" fontId="48" fillId="30" borderId="124" applyNumberFormat="0" applyProtection="0">
      <alignment horizontal="left" vertical="top" indent="1"/>
    </xf>
    <xf numFmtId="4" fontId="48" fillId="0" borderId="119" applyNumberFormat="0" applyProtection="0">
      <alignment horizontal="right" vertical="center"/>
    </xf>
    <xf numFmtId="353" fontId="10" fillId="0" borderId="128" applyNumberFormat="0" applyFill="0" applyAlignment="0" applyProtection="0"/>
    <xf numFmtId="353" fontId="88" fillId="31" borderId="126" applyBorder="0"/>
    <xf numFmtId="353" fontId="48" fillId="30" borderId="124" applyNumberFormat="0" applyProtection="0">
      <alignment horizontal="left" vertical="top" indent="1"/>
    </xf>
    <xf numFmtId="353" fontId="48" fillId="30" borderId="124" applyNumberFormat="0" applyProtection="0">
      <alignment horizontal="left" vertical="top" indent="1"/>
    </xf>
    <xf numFmtId="210" fontId="59" fillId="0" borderId="30" applyFill="0"/>
    <xf numFmtId="353" fontId="48" fillId="30" borderId="124" applyNumberFormat="0" applyProtection="0">
      <alignment horizontal="left" vertical="top" indent="1"/>
    </xf>
    <xf numFmtId="4" fontId="48" fillId="27" borderId="119" applyNumberFormat="0" applyProtection="0">
      <alignment horizontal="right" vertical="center"/>
    </xf>
    <xf numFmtId="4" fontId="48" fillId="19" borderId="125" applyNumberFormat="0" applyProtection="0">
      <alignment horizontal="left" vertical="center" indent="1"/>
    </xf>
    <xf numFmtId="353" fontId="48" fillId="31" borderId="124" applyNumberFormat="0" applyProtection="0">
      <alignment horizontal="left" vertical="top"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4" fontId="253" fillId="35" borderId="125" applyNumberFormat="0" applyProtection="0">
      <alignment horizontal="left" vertical="center" indent="1"/>
    </xf>
    <xf numFmtId="353" fontId="137" fillId="14" borderId="119" applyNumberFormat="0" applyAlignment="0" applyProtection="0"/>
    <xf numFmtId="353" fontId="4" fillId="32" borderId="124" applyNumberFormat="0" applyProtection="0">
      <alignment horizontal="left" vertical="top" indent="1"/>
    </xf>
    <xf numFmtId="353" fontId="137" fillId="14" borderId="119" applyNumberFormat="0" applyAlignment="0" applyProtection="0"/>
    <xf numFmtId="353" fontId="4" fillId="19" borderId="124" applyNumberFormat="0" applyProtection="0">
      <alignment horizontal="left" vertical="center" indent="1"/>
    </xf>
    <xf numFmtId="353" fontId="48" fillId="31" borderId="124" applyNumberFormat="0" applyProtection="0">
      <alignment horizontal="left" vertical="top" indent="1"/>
    </xf>
    <xf numFmtId="4" fontId="48" fillId="19" borderId="125" applyNumberFormat="0" applyProtection="0">
      <alignment horizontal="left" vertical="center" indent="1"/>
    </xf>
    <xf numFmtId="4" fontId="48" fillId="27" borderId="119" applyNumberFormat="0" applyProtection="0">
      <alignment horizontal="right" vertical="center"/>
    </xf>
    <xf numFmtId="4" fontId="48" fillId="20" borderId="119" applyNumberFormat="0" applyProtection="0">
      <alignment horizontal="right" vertical="center"/>
    </xf>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32" borderId="119" applyNumberFormat="0" applyProtection="0">
      <alignment horizontal="left" vertical="center" indent="1"/>
    </xf>
    <xf numFmtId="4" fontId="48" fillId="131" borderId="119" applyNumberFormat="0" applyProtection="0">
      <alignment horizontal="right" vertical="center"/>
    </xf>
    <xf numFmtId="353" fontId="48" fillId="30" borderId="124" applyNumberFormat="0" applyProtection="0">
      <alignment horizontal="left" vertical="top" indent="1"/>
    </xf>
    <xf numFmtId="4" fontId="48" fillId="30" borderId="125" applyNumberFormat="0" applyProtection="0">
      <alignment horizontal="left" vertical="center" indent="1"/>
    </xf>
    <xf numFmtId="353" fontId="48" fillId="31" borderId="124" applyNumberFormat="0" applyProtection="0">
      <alignment horizontal="left" vertical="top" indent="1"/>
    </xf>
    <xf numFmtId="353" fontId="48" fillId="83" borderId="119" applyNumberFormat="0" applyProtection="0">
      <alignment horizontal="left" vertical="center"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252" fillId="19" borderId="124" applyNumberFormat="0" applyProtection="0">
      <alignment horizontal="left" vertical="top" indent="1"/>
    </xf>
    <xf numFmtId="4" fontId="48" fillId="0" borderId="119" applyNumberFormat="0" applyProtection="0">
      <alignment horizontal="right" vertical="center"/>
    </xf>
    <xf numFmtId="353" fontId="4" fillId="32" borderId="124" applyNumberFormat="0" applyProtection="0">
      <alignment horizontal="left" vertical="top" indent="1"/>
    </xf>
    <xf numFmtId="37" fontId="59" fillId="0" borderId="127" applyNumberFormat="0"/>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4" fontId="48" fillId="19" borderId="125" applyNumberFormat="0" applyProtection="0">
      <alignment horizontal="left" vertical="center" indent="1"/>
    </xf>
    <xf numFmtId="4" fontId="48" fillId="22" borderId="125" applyNumberFormat="0" applyProtection="0">
      <alignment horizontal="right" vertical="center"/>
    </xf>
    <xf numFmtId="353" fontId="248" fillId="128" borderId="119" applyNumberFormat="0" applyAlignment="0" applyProtection="0"/>
    <xf numFmtId="353" fontId="48" fillId="32" borderId="124" applyNumberFormat="0" applyProtection="0">
      <alignment horizontal="left" vertical="top" indent="1"/>
    </xf>
    <xf numFmtId="353" fontId="48" fillId="13" borderId="119" applyNumberFormat="0" applyFont="0" applyAlignment="0" applyProtection="0"/>
    <xf numFmtId="353" fontId="48" fillId="13" borderId="119" applyNumberFormat="0" applyFont="0" applyAlignment="0" applyProtection="0"/>
    <xf numFmtId="353" fontId="48" fillId="19" borderId="124" applyNumberFormat="0" applyProtection="0">
      <alignment horizontal="left" vertical="top" indent="1"/>
    </xf>
    <xf numFmtId="353" fontId="4" fillId="31" borderId="124" applyNumberFormat="0" applyProtection="0">
      <alignment horizontal="left" vertical="center" indent="1"/>
    </xf>
    <xf numFmtId="353" fontId="4" fillId="19" borderId="124" applyNumberFormat="0" applyProtection="0">
      <alignment horizontal="left" vertical="top" indent="1"/>
    </xf>
    <xf numFmtId="353" fontId="48" fillId="31" borderId="124" applyNumberFormat="0" applyProtection="0">
      <alignment horizontal="left" vertical="top" indent="1"/>
    </xf>
    <xf numFmtId="4" fontId="48" fillId="0" borderId="119" applyNumberFormat="0" applyProtection="0">
      <alignment horizontal="right" vertical="center"/>
    </xf>
    <xf numFmtId="353" fontId="48" fillId="13" borderId="119" applyNumberFormat="0" applyFont="0" applyAlignment="0" applyProtection="0"/>
    <xf numFmtId="4" fontId="48" fillId="23" borderId="119" applyNumberFormat="0" applyProtection="0">
      <alignment horizontal="right" vertical="center"/>
    </xf>
    <xf numFmtId="4" fontId="48" fillId="23" borderId="119" applyNumberFormat="0" applyProtection="0">
      <alignment horizontal="right" vertical="center"/>
    </xf>
    <xf numFmtId="4" fontId="48" fillId="28" borderId="119" applyNumberFormat="0" applyProtection="0">
      <alignment horizontal="right" vertical="center"/>
    </xf>
    <xf numFmtId="353" fontId="48" fillId="61" borderId="119" applyNumberFormat="0" applyProtection="0">
      <alignment horizontal="left" vertical="center"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4" fontId="254" fillId="33" borderId="119" applyNumberFormat="0" applyProtection="0">
      <alignment horizontal="right" vertical="center"/>
    </xf>
    <xf numFmtId="4" fontId="48" fillId="64" borderId="119" applyNumberFormat="0" applyProtection="0">
      <alignment horizontal="left" vertical="center" indent="1"/>
    </xf>
    <xf numFmtId="353" fontId="48" fillId="30" borderId="124" applyNumberFormat="0" applyProtection="0">
      <alignment horizontal="left" vertical="top" indent="1"/>
    </xf>
    <xf numFmtId="4" fontId="253" fillId="35" borderId="125" applyNumberFormat="0" applyProtection="0">
      <alignment horizontal="left" vertical="center"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4" fontId="48" fillId="19" borderId="119" applyNumberFormat="0" applyProtection="0">
      <alignment horizontal="right" vertical="center"/>
    </xf>
    <xf numFmtId="4" fontId="48" fillId="20" borderId="119" applyNumberFormat="0" applyProtection="0">
      <alignment horizontal="right" vertical="center"/>
    </xf>
    <xf numFmtId="353" fontId="48" fillId="30" borderId="124" applyNumberFormat="0" applyProtection="0">
      <alignment horizontal="left" vertical="top" indent="1"/>
    </xf>
    <xf numFmtId="353" fontId="48" fillId="31" borderId="124" applyNumberFormat="0" applyProtection="0">
      <alignment horizontal="left" vertical="top" indent="1"/>
    </xf>
    <xf numFmtId="353" fontId="48" fillId="13" borderId="119" applyNumberFormat="0" applyFont="0" applyAlignment="0" applyProtection="0"/>
    <xf numFmtId="353" fontId="48" fillId="13" borderId="119" applyNumberFormat="0" applyFont="0" applyAlignment="0" applyProtection="0"/>
    <xf numFmtId="4" fontId="48" fillId="64" borderId="119" applyNumberFormat="0" applyProtection="0">
      <alignment horizontal="left" vertical="center" indent="1"/>
    </xf>
    <xf numFmtId="353" fontId="48" fillId="30" borderId="124" applyNumberFormat="0" applyProtection="0">
      <alignment horizontal="left" vertical="top" indent="1"/>
    </xf>
    <xf numFmtId="353" fontId="48" fillId="19" borderId="124" applyNumberFormat="0" applyProtection="0">
      <alignment horizontal="left" vertical="top" indent="1"/>
    </xf>
    <xf numFmtId="4" fontId="4" fillId="31" borderId="125" applyNumberFormat="0" applyProtection="0">
      <alignment horizontal="left" vertical="center" indent="1"/>
    </xf>
    <xf numFmtId="353" fontId="179" fillId="128" borderId="123" applyNumberFormat="0" applyAlignment="0" applyProtection="0"/>
    <xf numFmtId="164" fontId="7" fillId="0" borderId="0" applyFont="0" applyFill="0" applyBorder="0" applyAlignment="0" applyProtection="0"/>
    <xf numFmtId="353" fontId="251" fillId="18" borderId="124" applyNumberFormat="0" applyProtection="0">
      <alignment horizontal="left" vertical="top" indent="1"/>
    </xf>
    <xf numFmtId="4" fontId="48" fillId="27" borderId="119" applyNumberFormat="0" applyProtection="0">
      <alignment horizontal="right" vertical="center"/>
    </xf>
    <xf numFmtId="4" fontId="48" fillId="19" borderId="125" applyNumberFormat="0" applyProtection="0">
      <alignment horizontal="left" vertical="center" indent="1"/>
    </xf>
    <xf numFmtId="353" fontId="4" fillId="31" borderId="124" applyNumberFormat="0" applyProtection="0">
      <alignment horizontal="left" vertical="top" indent="1"/>
    </xf>
    <xf numFmtId="353" fontId="48" fillId="32" borderId="124" applyNumberFormat="0" applyProtection="0">
      <alignment horizontal="left" vertical="top" indent="1"/>
    </xf>
    <xf numFmtId="353" fontId="48" fillId="32" borderId="119" applyNumberFormat="0" applyProtection="0">
      <alignment horizontal="left" vertical="center" indent="1"/>
    </xf>
    <xf numFmtId="353" fontId="4" fillId="19" borderId="124" applyNumberFormat="0" applyProtection="0">
      <alignment horizontal="left" vertical="center" indent="1"/>
    </xf>
    <xf numFmtId="353" fontId="48" fillId="31" borderId="124" applyNumberFormat="0" applyProtection="0">
      <alignment horizontal="left" vertical="top" indent="1"/>
    </xf>
    <xf numFmtId="4" fontId="4" fillId="31" borderId="125" applyNumberFormat="0" applyProtection="0">
      <alignment horizontal="left" vertical="center" indent="1"/>
    </xf>
    <xf numFmtId="4" fontId="48" fillId="131" borderId="119" applyNumberFormat="0" applyProtection="0">
      <alignment horizontal="right" vertical="center"/>
    </xf>
    <xf numFmtId="353" fontId="48" fillId="13" borderId="119" applyNumberFormat="0" applyFont="0" applyAlignment="0" applyProtection="0"/>
    <xf numFmtId="353" fontId="248" fillId="128" borderId="119" applyNumberFormat="0" applyAlignment="0" applyProtection="0"/>
    <xf numFmtId="353" fontId="137" fillId="14" borderId="119"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4" fontId="250" fillId="45" borderId="119" applyNumberFormat="0" applyProtection="0">
      <alignment vertical="center"/>
    </xf>
    <xf numFmtId="4" fontId="48" fillId="19" borderId="119" applyNumberFormat="0" applyProtection="0">
      <alignment horizontal="right" vertical="center"/>
    </xf>
    <xf numFmtId="4" fontId="48" fillId="131" borderId="119" applyNumberFormat="0" applyProtection="0">
      <alignment horizontal="right" vertical="center"/>
    </xf>
    <xf numFmtId="353" fontId="48" fillId="31" borderId="124" applyNumberFormat="0" applyProtection="0">
      <alignment horizontal="left" vertical="top" indent="1"/>
    </xf>
    <xf numFmtId="4" fontId="48" fillId="29" borderId="125" applyNumberFormat="0" applyProtection="0">
      <alignment horizontal="left" vertical="center" indent="1"/>
    </xf>
    <xf numFmtId="4" fontId="48" fillId="26" borderId="119" applyNumberFormat="0" applyProtection="0">
      <alignment horizontal="right" vertical="center"/>
    </xf>
    <xf numFmtId="353" fontId="48" fillId="31"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8" fillId="30" borderId="124" applyNumberFormat="0" applyProtection="0">
      <alignment horizontal="left" vertical="top" indent="1"/>
    </xf>
    <xf numFmtId="4" fontId="252" fillId="34" borderId="124" applyNumberFormat="0" applyProtection="0">
      <alignment vertical="center"/>
    </xf>
    <xf numFmtId="4" fontId="253" fillId="35" borderId="125" applyNumberFormat="0" applyProtection="0">
      <alignment horizontal="left" vertical="center" indent="1"/>
    </xf>
    <xf numFmtId="353" fontId="48" fillId="19" borderId="124" applyNumberFormat="0" applyProtection="0">
      <alignment horizontal="left" vertical="top" indent="1"/>
    </xf>
    <xf numFmtId="4" fontId="48" fillId="64" borderId="119" applyNumberFormat="0" applyProtection="0">
      <alignment horizontal="left" vertical="center" indent="1"/>
    </xf>
    <xf numFmtId="353" fontId="48" fillId="30" borderId="124" applyNumberFormat="0" applyProtection="0">
      <alignment horizontal="left" vertical="top" indent="1"/>
    </xf>
    <xf numFmtId="4" fontId="48" fillId="0" borderId="119" applyNumberFormat="0" applyProtection="0">
      <alignment horizontal="right" vertical="center"/>
    </xf>
    <xf numFmtId="353" fontId="248" fillId="128" borderId="119" applyNumberFormat="0" applyAlignment="0" applyProtection="0"/>
    <xf numFmtId="353" fontId="48" fillId="13" borderId="119" applyNumberFormat="0" applyFont="0" applyAlignment="0" applyProtection="0"/>
    <xf numFmtId="4" fontId="4" fillId="31" borderId="125" applyNumberFormat="0" applyProtection="0">
      <alignment horizontal="left" vertical="center"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10" fillId="0" borderId="128" applyNumberFormat="0" applyFill="0" applyAlignment="0" applyProtection="0"/>
    <xf numFmtId="353" fontId="48" fillId="13" borderId="119" applyNumberFormat="0" applyFont="0" applyAlignment="0" applyProtection="0"/>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4" fontId="4" fillId="31" borderId="125" applyNumberFormat="0" applyProtection="0">
      <alignment horizontal="left" vertical="center" indent="1"/>
    </xf>
    <xf numFmtId="4" fontId="48" fillId="23" borderId="119" applyNumberFormat="0" applyProtection="0">
      <alignment horizontal="right" vertical="center"/>
    </xf>
    <xf numFmtId="4" fontId="250" fillId="45" borderId="119" applyNumberFormat="0" applyProtection="0">
      <alignment vertical="center"/>
    </xf>
    <xf numFmtId="353" fontId="48" fillId="13" borderId="119" applyNumberFormat="0" applyFont="0" applyAlignment="0" applyProtection="0"/>
    <xf numFmtId="353" fontId="248" fillId="128" borderId="119" applyNumberFormat="0" applyAlignment="0" applyProtection="0"/>
    <xf numFmtId="4" fontId="48" fillId="131" borderId="119" applyNumberFormat="0" applyProtection="0">
      <alignment horizontal="right" vertical="center"/>
    </xf>
    <xf numFmtId="353" fontId="48" fillId="13" borderId="119" applyNumberFormat="0" applyFont="0" applyAlignment="0" applyProtection="0"/>
    <xf numFmtId="353" fontId="252" fillId="34" borderId="124" applyNumberFormat="0" applyProtection="0">
      <alignment horizontal="left" vertical="top" indent="1"/>
    </xf>
    <xf numFmtId="4" fontId="48" fillId="25" borderId="119" applyNumberFormat="0" applyProtection="0">
      <alignment horizontal="right" vertical="center"/>
    </xf>
    <xf numFmtId="4" fontId="4" fillId="31" borderId="125" applyNumberFormat="0" applyProtection="0">
      <alignment horizontal="left" vertical="center"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 fillId="30" borderId="124" applyNumberFormat="0" applyProtection="0">
      <alignment horizontal="left" vertical="center"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10" fillId="0" borderId="128" applyNumberFormat="0" applyFill="0" applyAlignment="0" applyProtection="0"/>
    <xf numFmtId="353" fontId="48" fillId="32" borderId="124" applyNumberFormat="0" applyProtection="0">
      <alignment horizontal="left" vertical="top" indent="1"/>
    </xf>
    <xf numFmtId="353" fontId="248" fillId="128" borderId="119" applyNumberFormat="0" applyAlignment="0" applyProtection="0"/>
    <xf numFmtId="4" fontId="48" fillId="0" borderId="119" applyNumberFormat="0" applyProtection="0">
      <alignment horizontal="right" vertical="center"/>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83" borderId="119" applyNumberFormat="0" applyProtection="0">
      <alignment horizontal="left" vertical="center" indent="1"/>
    </xf>
    <xf numFmtId="353" fontId="4" fillId="31" borderId="124" applyNumberFormat="0" applyProtection="0">
      <alignment horizontal="left" vertical="top" indent="1"/>
    </xf>
    <xf numFmtId="4" fontId="48" fillId="28" borderId="119" applyNumberFormat="0" applyProtection="0">
      <alignment horizontal="right" vertical="center"/>
    </xf>
    <xf numFmtId="353" fontId="251" fillId="18" borderId="124" applyNumberFormat="0" applyProtection="0">
      <alignment horizontal="left" vertical="top" indent="1"/>
    </xf>
    <xf numFmtId="353" fontId="88" fillId="31" borderId="126" applyBorder="0"/>
    <xf numFmtId="353" fontId="48" fillId="32" borderId="119" applyNumberFormat="0" applyProtection="0">
      <alignment horizontal="left" vertical="center" indent="1"/>
    </xf>
    <xf numFmtId="353" fontId="137" fillId="14" borderId="119" applyNumberFormat="0" applyAlignment="0" applyProtection="0"/>
    <xf numFmtId="4" fontId="252" fillId="61" borderId="124" applyNumberFormat="0" applyProtection="0">
      <alignment horizontal="left" vertical="center" indent="1"/>
    </xf>
    <xf numFmtId="353" fontId="48" fillId="13" borderId="119" applyNumberFormat="0" applyFont="0" applyAlignment="0" applyProtection="0"/>
    <xf numFmtId="353" fontId="248" fillId="128" borderId="119" applyNumberFormat="0" applyAlignment="0" applyProtection="0"/>
    <xf numFmtId="4" fontId="48" fillId="45" borderId="119" applyNumberFormat="0" applyProtection="0">
      <alignment horizontal="left" vertical="center" indent="1"/>
    </xf>
    <xf numFmtId="4" fontId="48" fillId="24" borderId="119" applyNumberFormat="0" applyProtection="0">
      <alignment horizontal="right" vertical="center"/>
    </xf>
    <xf numFmtId="4" fontId="4" fillId="31" borderId="125" applyNumberFormat="0" applyProtection="0">
      <alignment horizontal="left" vertical="center" indent="1"/>
    </xf>
    <xf numFmtId="353" fontId="4" fillId="31" borderId="124" applyNumberFormat="0" applyProtection="0">
      <alignment horizontal="left" vertical="top"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8" fillId="32" borderId="119" applyNumberFormat="0" applyProtection="0">
      <alignment horizontal="left" vertical="center" indent="1"/>
    </xf>
    <xf numFmtId="353" fontId="10" fillId="0" borderId="128" applyNumberFormat="0" applyFill="0" applyAlignment="0" applyProtection="0"/>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4" fontId="4" fillId="31" borderId="125" applyNumberFormat="0" applyProtection="0">
      <alignment horizontal="left" vertical="center" indent="1"/>
    </xf>
    <xf numFmtId="4" fontId="48" fillId="64" borderId="119" applyNumberFormat="0" applyProtection="0">
      <alignment horizontal="left" vertical="center" indent="1"/>
    </xf>
    <xf numFmtId="353" fontId="252" fillId="34" borderId="124" applyNumberFormat="0" applyProtection="0">
      <alignment horizontal="left" vertical="top" indent="1"/>
    </xf>
    <xf numFmtId="353" fontId="48" fillId="30" borderId="124" applyNumberFormat="0" applyProtection="0">
      <alignment horizontal="left" vertical="top" indent="1"/>
    </xf>
    <xf numFmtId="353" fontId="252" fillId="34" borderId="124" applyNumberFormat="0" applyProtection="0">
      <alignment horizontal="left" vertical="top" indent="1"/>
    </xf>
    <xf numFmtId="353" fontId="48" fillId="32" borderId="124" applyNumberFormat="0" applyProtection="0">
      <alignment horizontal="left" vertical="top" indent="1"/>
    </xf>
    <xf numFmtId="353" fontId="252" fillId="19" borderId="124" applyNumberFormat="0" applyProtection="0">
      <alignment horizontal="left" vertical="top" indent="1"/>
    </xf>
    <xf numFmtId="353" fontId="88" fillId="31" borderId="126" applyBorder="0"/>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210" fontId="59" fillId="0" borderId="30" applyFill="0"/>
    <xf numFmtId="4" fontId="48" fillId="28" borderId="119" applyNumberFormat="0" applyProtection="0">
      <alignment horizontal="right" vertical="center"/>
    </xf>
    <xf numFmtId="4" fontId="48" fillId="19" borderId="125" applyNumberFormat="0" applyProtection="0">
      <alignment horizontal="left" vertical="center" indent="1"/>
    </xf>
    <xf numFmtId="4" fontId="48" fillId="20" borderId="119" applyNumberFormat="0" applyProtection="0">
      <alignment horizontal="right" vertical="center"/>
    </xf>
    <xf numFmtId="4" fontId="48" fillId="28" borderId="119" applyNumberFormat="0" applyProtection="0">
      <alignment horizontal="right" vertical="center"/>
    </xf>
    <xf numFmtId="353" fontId="179" fillId="128" borderId="123"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137" fillId="14" borderId="119" applyNumberFormat="0" applyAlignment="0" applyProtection="0"/>
    <xf numFmtId="353" fontId="48" fillId="13" borderId="119" applyNumberFormat="0" applyFont="0" applyAlignment="0" applyProtection="0"/>
    <xf numFmtId="4" fontId="48" fillId="18" borderId="119" applyNumberFormat="0" applyProtection="0">
      <alignment vertical="center"/>
    </xf>
    <xf numFmtId="4" fontId="48" fillId="24" borderId="119" applyNumberFormat="0" applyProtection="0">
      <alignment horizontal="right" vertical="center"/>
    </xf>
    <xf numFmtId="4" fontId="48" fillId="30" borderId="125" applyNumberFormat="0" applyProtection="0">
      <alignment horizontal="left" vertical="center"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 fillId="32" borderId="124" applyNumberFormat="0" applyProtection="0">
      <alignment horizontal="left" vertical="center" indent="1"/>
    </xf>
    <xf numFmtId="353" fontId="48" fillId="32" borderId="124" applyNumberFormat="0" applyProtection="0">
      <alignment horizontal="left" vertical="top" indent="1"/>
    </xf>
    <xf numFmtId="353" fontId="48" fillId="31" borderId="124" applyNumberFormat="0" applyProtection="0">
      <alignment horizontal="left" vertical="top" indent="1"/>
    </xf>
    <xf numFmtId="4" fontId="48" fillId="24" borderId="119" applyNumberFormat="0" applyProtection="0">
      <alignment horizontal="right" vertical="center"/>
    </xf>
    <xf numFmtId="4" fontId="48" fillId="18" borderId="119" applyNumberFormat="0" applyProtection="0">
      <alignment vertical="center"/>
    </xf>
    <xf numFmtId="4" fontId="48" fillId="64" borderId="119" applyNumberFormat="0" applyProtection="0">
      <alignment horizontal="left" vertical="center" indent="1"/>
    </xf>
    <xf numFmtId="4" fontId="48" fillId="45" borderId="119" applyNumberFormat="0" applyProtection="0">
      <alignment horizontal="left" vertical="center" indent="1"/>
    </xf>
    <xf numFmtId="4" fontId="48" fillId="26" borderId="119" applyNumberFormat="0" applyProtection="0">
      <alignment horizontal="right" vertical="center"/>
    </xf>
    <xf numFmtId="4" fontId="4" fillId="31" borderId="125" applyNumberFormat="0" applyProtection="0">
      <alignment horizontal="left" vertical="center" indent="1"/>
    </xf>
    <xf numFmtId="4" fontId="48" fillId="22" borderId="125" applyNumberFormat="0" applyProtection="0">
      <alignment horizontal="right" vertical="center"/>
    </xf>
    <xf numFmtId="4" fontId="48" fillId="30" borderId="125" applyNumberFormat="0" applyProtection="0">
      <alignment horizontal="left" vertical="center" indent="1"/>
    </xf>
    <xf numFmtId="353" fontId="4" fillId="31" borderId="124" applyNumberFormat="0" applyProtection="0">
      <alignment horizontal="left" vertical="center" indent="1"/>
    </xf>
    <xf numFmtId="353" fontId="48" fillId="32" borderId="124" applyNumberFormat="0" applyProtection="0">
      <alignment horizontal="left" vertical="top" indent="1"/>
    </xf>
    <xf numFmtId="4" fontId="4" fillId="31" borderId="125" applyNumberFormat="0" applyProtection="0">
      <alignment horizontal="left" vertical="center" indent="1"/>
    </xf>
    <xf numFmtId="353" fontId="179" fillId="128" borderId="123" applyNumberFormat="0" applyAlignment="0" applyProtection="0"/>
    <xf numFmtId="353" fontId="48" fillId="13" borderId="119" applyNumberFormat="0" applyFont="0" applyAlignment="0" applyProtection="0"/>
    <xf numFmtId="4" fontId="48" fillId="18" borderId="119" applyNumberFormat="0" applyProtection="0">
      <alignment vertical="center"/>
    </xf>
    <xf numFmtId="353" fontId="4" fillId="31" borderId="124" applyNumberFormat="0" applyProtection="0">
      <alignment horizontal="left" vertical="center" indent="1"/>
    </xf>
    <xf numFmtId="353" fontId="48" fillId="30" borderId="124" applyNumberFormat="0" applyProtection="0">
      <alignment horizontal="left" vertical="top" indent="1"/>
    </xf>
    <xf numFmtId="353" fontId="4"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353" fontId="48" fillId="61" borderId="119" applyNumberFormat="0" applyProtection="0">
      <alignment horizontal="left" vertical="center" indent="1"/>
    </xf>
    <xf numFmtId="4" fontId="48" fillId="26" borderId="119" applyNumberFormat="0" applyProtection="0">
      <alignment horizontal="right" vertical="center"/>
    </xf>
    <xf numFmtId="4" fontId="48" fillId="45" borderId="119" applyNumberFormat="0" applyProtection="0">
      <alignment horizontal="left" vertical="center" indent="1"/>
    </xf>
    <xf numFmtId="353" fontId="48" fillId="13" borderId="119" applyNumberFormat="0" applyFont="0" applyAlignment="0" applyProtection="0"/>
    <xf numFmtId="353" fontId="137" fillId="14" borderId="119" applyNumberForma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4" fontId="48" fillId="25" borderId="119" applyNumberFormat="0" applyProtection="0">
      <alignment horizontal="right" vertical="center"/>
    </xf>
    <xf numFmtId="353" fontId="251" fillId="18" borderId="124" applyNumberFormat="0" applyProtection="0">
      <alignment horizontal="left" vertical="top" indent="1"/>
    </xf>
    <xf numFmtId="4" fontId="48" fillId="19" borderId="119" applyNumberFormat="0" applyProtection="0">
      <alignment horizontal="right" vertical="center"/>
    </xf>
    <xf numFmtId="4" fontId="48" fillId="26" borderId="119" applyNumberFormat="0" applyProtection="0">
      <alignment horizontal="right" vertical="center"/>
    </xf>
    <xf numFmtId="4" fontId="48" fillId="24" borderId="119" applyNumberFormat="0" applyProtection="0">
      <alignment horizontal="right" vertical="center"/>
    </xf>
    <xf numFmtId="353" fontId="48" fillId="31" borderId="124" applyNumberFormat="0" applyProtection="0">
      <alignment horizontal="left" vertical="top" indent="1"/>
    </xf>
    <xf numFmtId="353" fontId="248" fillId="128" borderId="119" applyNumberFormat="0" applyAlignment="0" applyProtection="0"/>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4" fontId="250" fillId="50" borderId="119" applyNumberFormat="0" applyProtection="0">
      <alignment horizontal="right" vertical="center"/>
    </xf>
    <xf numFmtId="353" fontId="10" fillId="0" borderId="128" applyNumberFormat="0" applyFill="0" applyAlignment="0" applyProtection="0"/>
    <xf numFmtId="4" fontId="252" fillId="34" borderId="124" applyNumberFormat="0" applyProtection="0">
      <alignment vertical="center"/>
    </xf>
    <xf numFmtId="353" fontId="48" fillId="30" borderId="124" applyNumberFormat="0" applyProtection="0">
      <alignment horizontal="left" vertical="top" indent="1"/>
    </xf>
    <xf numFmtId="353" fontId="88" fillId="31" borderId="126" applyBorder="0"/>
    <xf numFmtId="4" fontId="48" fillId="0" borderId="119" applyNumberFormat="0" applyProtection="0">
      <alignment horizontal="right" vertical="center"/>
    </xf>
    <xf numFmtId="353" fontId="48" fillId="30" borderId="124" applyNumberFormat="0" applyProtection="0">
      <alignment horizontal="left" vertical="top" indent="1"/>
    </xf>
    <xf numFmtId="4" fontId="48" fillId="28" borderId="119" applyNumberFormat="0" applyProtection="0">
      <alignment horizontal="right" vertical="center"/>
    </xf>
    <xf numFmtId="353" fontId="48" fillId="61" borderId="119" applyNumberFormat="0" applyProtection="0">
      <alignment horizontal="left" vertical="center"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4" fontId="254" fillId="33" borderId="119" applyNumberFormat="0" applyProtection="0">
      <alignment horizontal="right" vertical="center"/>
    </xf>
    <xf numFmtId="353" fontId="137" fillId="14" borderId="119" applyNumberFormat="0" applyAlignment="0" applyProtection="0"/>
    <xf numFmtId="353" fontId="48" fillId="32" borderId="124" applyNumberFormat="0" applyProtection="0">
      <alignment horizontal="left" vertical="top" indent="1"/>
    </xf>
    <xf numFmtId="353" fontId="137" fillId="14" borderId="119" applyNumberFormat="0" applyAlignment="0" applyProtection="0"/>
    <xf numFmtId="353" fontId="48" fillId="83" borderId="119" applyNumberFormat="0" applyProtection="0">
      <alignment horizontal="left" vertical="center" indent="1"/>
    </xf>
    <xf numFmtId="353" fontId="48" fillId="31" borderId="124" applyNumberFormat="0" applyProtection="0">
      <alignment horizontal="left" vertical="top" indent="1"/>
    </xf>
    <xf numFmtId="4" fontId="48" fillId="30" borderId="125" applyNumberFormat="0" applyProtection="0">
      <alignment horizontal="left" vertical="center" indent="1"/>
    </xf>
    <xf numFmtId="4" fontId="48" fillId="26" borderId="119" applyNumberFormat="0" applyProtection="0">
      <alignment horizontal="right" vertical="center"/>
    </xf>
    <xf numFmtId="4" fontId="48" fillId="64" borderId="119" applyNumberFormat="0" applyProtection="0">
      <alignment horizontal="left" vertical="center" indent="1"/>
    </xf>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48" fillId="13" borderId="119" applyNumberFormat="0" applyFont="0" applyAlignment="0" applyProtection="0"/>
    <xf numFmtId="353" fontId="88" fillId="31" borderId="126" applyBorder="0"/>
    <xf numFmtId="4" fontId="48" fillId="22" borderId="125" applyNumberFormat="0" applyProtection="0">
      <alignment horizontal="right" vertical="center"/>
    </xf>
    <xf numFmtId="353" fontId="48" fillId="30" borderId="124" applyNumberFormat="0" applyProtection="0">
      <alignment horizontal="left" vertical="top" indent="1"/>
    </xf>
    <xf numFmtId="4" fontId="48" fillId="19" borderId="125" applyNumberFormat="0" applyProtection="0">
      <alignment horizontal="left" vertical="center" indent="1"/>
    </xf>
    <xf numFmtId="353" fontId="48" fillId="31" borderId="124" applyNumberFormat="0" applyProtection="0">
      <alignment horizontal="left" vertical="top" indent="1"/>
    </xf>
    <xf numFmtId="353" fontId="4" fillId="19" borderId="124" applyNumberFormat="0" applyProtection="0">
      <alignment horizontal="left" vertical="center" indent="1"/>
    </xf>
    <xf numFmtId="353" fontId="48" fillId="19" borderId="124" applyNumberFormat="0" applyProtection="0">
      <alignment horizontal="left" vertical="top" indent="1"/>
    </xf>
    <xf numFmtId="353" fontId="4" fillId="32"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4" fontId="253" fillId="35" borderId="125" applyNumberFormat="0" applyProtection="0">
      <alignment horizontal="left" vertical="center" indent="1"/>
    </xf>
    <xf numFmtId="4" fontId="250" fillId="50" borderId="119" applyNumberFormat="0" applyProtection="0">
      <alignment horizontal="right" vertical="center"/>
    </xf>
    <xf numFmtId="353" fontId="48" fillId="13" borderId="119" applyNumberFormat="0" applyFont="0" applyAlignment="0" applyProtection="0"/>
    <xf numFmtId="4" fontId="254" fillId="33" borderId="119" applyNumberFormat="0" applyProtection="0">
      <alignment horizontal="right" vertical="center"/>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4" fontId="48" fillId="30" borderId="125" applyNumberFormat="0" applyProtection="0">
      <alignment horizontal="left" vertical="center" indent="1"/>
    </xf>
    <xf numFmtId="4" fontId="48" fillId="131" borderId="119" applyNumberFormat="0" applyProtection="0">
      <alignment horizontal="right" vertical="center"/>
    </xf>
    <xf numFmtId="353" fontId="48" fillId="32" borderId="124" applyNumberFormat="0" applyProtection="0">
      <alignment horizontal="left" vertical="top" indent="1"/>
    </xf>
    <xf numFmtId="353" fontId="48" fillId="13" borderId="119" applyNumberFormat="0" applyFont="0" applyAlignment="0" applyProtection="0"/>
    <xf numFmtId="353" fontId="48" fillId="13" borderId="119" applyNumberFormat="0" applyFont="0" applyAlignment="0" applyProtection="0"/>
    <xf numFmtId="353" fontId="48" fillId="32" borderId="119" applyNumberFormat="0" applyProtection="0">
      <alignment horizontal="left" vertical="center"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4" fontId="250" fillId="50" borderId="119" applyNumberFormat="0" applyProtection="0">
      <alignment horizontal="right" vertical="center"/>
    </xf>
    <xf numFmtId="353" fontId="48" fillId="13" borderId="119" applyNumberFormat="0" applyFont="0" applyAlignment="0" applyProtection="0"/>
    <xf numFmtId="4" fontId="48" fillId="22" borderId="125" applyNumberFormat="0" applyProtection="0">
      <alignment horizontal="right" vertical="center"/>
    </xf>
    <xf numFmtId="4" fontId="48" fillId="24" borderId="119" applyNumberFormat="0" applyProtection="0">
      <alignment horizontal="right" vertical="center"/>
    </xf>
    <xf numFmtId="4" fontId="48" fillId="29" borderId="125" applyNumberFormat="0" applyProtection="0">
      <alignment horizontal="left" vertical="center" indent="1"/>
    </xf>
    <xf numFmtId="353" fontId="4" fillId="31" borderId="124" applyNumberFormat="0" applyProtection="0">
      <alignment horizontal="left" vertical="center" indent="1"/>
    </xf>
    <xf numFmtId="353" fontId="48" fillId="31" borderId="124" applyNumberFormat="0" applyProtection="0">
      <alignment horizontal="left" vertical="top" indent="1"/>
    </xf>
    <xf numFmtId="353" fontId="4" fillId="19"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0" borderId="119" applyNumberFormat="0" applyProtection="0">
      <alignment horizontal="left" vertical="center"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7" fontId="59" fillId="0" borderId="127" applyNumberFormat="0"/>
    <xf numFmtId="4" fontId="254" fillId="33" borderId="119" applyNumberFormat="0" applyProtection="0">
      <alignment horizontal="right" vertical="center"/>
    </xf>
    <xf numFmtId="353" fontId="48" fillId="19" borderId="124" applyNumberFormat="0" applyProtection="0">
      <alignment horizontal="left" vertical="top" indent="1"/>
    </xf>
    <xf numFmtId="353" fontId="252" fillId="19" borderId="124" applyNumberFormat="0" applyProtection="0">
      <alignment horizontal="left" vertical="top" indent="1"/>
    </xf>
    <xf numFmtId="353" fontId="48" fillId="30" borderId="124" applyNumberFormat="0" applyProtection="0">
      <alignment horizontal="left" vertical="top" indent="1"/>
    </xf>
    <xf numFmtId="353" fontId="4" fillId="32" borderId="124" applyNumberFormat="0" applyProtection="0">
      <alignment horizontal="left" vertical="center" indent="1"/>
    </xf>
    <xf numFmtId="353" fontId="4" fillId="19" borderId="124" applyNumberFormat="0" applyProtection="0">
      <alignment horizontal="left" vertical="center" indent="1"/>
    </xf>
    <xf numFmtId="353" fontId="48" fillId="31" borderId="124" applyNumberFormat="0" applyProtection="0">
      <alignment horizontal="left" vertical="top" indent="1"/>
    </xf>
    <xf numFmtId="4" fontId="4" fillId="31" borderId="125" applyNumberFormat="0" applyProtection="0">
      <alignment horizontal="left" vertical="center" indent="1"/>
    </xf>
    <xf numFmtId="4" fontId="48" fillId="64" borderId="119" applyNumberFormat="0" applyProtection="0">
      <alignment horizontal="left" vertical="center" indent="1"/>
    </xf>
    <xf numFmtId="353" fontId="48" fillId="31" borderId="124" applyNumberFormat="0" applyProtection="0">
      <alignment horizontal="left" vertical="top" indent="1"/>
    </xf>
    <xf numFmtId="353" fontId="48" fillId="13" borderId="119" applyNumberFormat="0" applyFont="0" applyAlignment="0" applyProtection="0"/>
    <xf numFmtId="4" fontId="250" fillId="50" borderId="119" applyNumberFormat="0" applyProtection="0">
      <alignment horizontal="right" vertical="center"/>
    </xf>
    <xf numFmtId="353" fontId="4" fillId="30" borderId="124" applyNumberFormat="0" applyProtection="0">
      <alignment horizontal="left" vertical="top" indent="1"/>
    </xf>
    <xf numFmtId="353" fontId="48" fillId="19" borderId="124" applyNumberFormat="0" applyProtection="0">
      <alignment horizontal="left" vertical="top" indent="1"/>
    </xf>
    <xf numFmtId="4" fontId="48" fillId="29" borderId="125" applyNumberFormat="0" applyProtection="0">
      <alignment horizontal="left" vertical="center" indent="1"/>
    </xf>
    <xf numFmtId="4" fontId="48" fillId="22" borderId="125" applyNumberFormat="0" applyProtection="0">
      <alignment horizontal="right" vertical="center"/>
    </xf>
    <xf numFmtId="4" fontId="252" fillId="61" borderId="124" applyNumberFormat="0" applyProtection="0">
      <alignment horizontal="left" vertical="center" indent="1"/>
    </xf>
    <xf numFmtId="353" fontId="10" fillId="0" borderId="128" applyNumberFormat="0" applyFill="0" applyAlignment="0" applyProtection="0"/>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0" borderId="124" applyNumberFormat="0" applyProtection="0">
      <alignment horizontal="left" vertical="top" indent="1"/>
    </xf>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248" fillId="128" borderId="119" applyNumberFormat="0" applyAlignment="0" applyProtection="0"/>
    <xf numFmtId="353" fontId="48" fillId="13" borderId="119" applyNumberFormat="0" applyFont="0" applyAlignment="0" applyProtection="0"/>
    <xf numFmtId="4" fontId="250" fillId="45" borderId="119" applyNumberFormat="0" applyProtection="0">
      <alignment vertical="center"/>
    </xf>
    <xf numFmtId="4" fontId="48" fillId="27" borderId="119" applyNumberFormat="0" applyProtection="0">
      <alignment horizontal="right" vertical="center"/>
    </xf>
    <xf numFmtId="353" fontId="48" fillId="31" borderId="124" applyNumberFormat="0" applyProtection="0">
      <alignment horizontal="left" vertical="top" indent="1"/>
    </xf>
    <xf numFmtId="353" fontId="48" fillId="31" borderId="124" applyNumberFormat="0" applyProtection="0">
      <alignment horizontal="left" vertical="top"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252" fillId="34" borderId="124" applyNumberFormat="0" applyProtection="0">
      <alignment horizontal="left" vertical="top" indent="1"/>
    </xf>
    <xf numFmtId="353" fontId="10" fillId="0" borderId="128" applyNumberFormat="0" applyFill="0" applyAlignment="0" applyProtection="0"/>
    <xf numFmtId="353" fontId="48" fillId="30" borderId="124" applyNumberFormat="0" applyProtection="0">
      <alignment horizontal="left" vertical="top" indent="1"/>
    </xf>
    <xf numFmtId="353" fontId="48" fillId="32" borderId="119" applyNumberFormat="0" applyProtection="0">
      <alignment horizontal="left" vertical="center"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353" fontId="4" fillId="31" borderId="124" applyNumberFormat="0" applyProtection="0">
      <alignment horizontal="left" vertical="top" indent="1"/>
    </xf>
    <xf numFmtId="4" fontId="4" fillId="31" borderId="125" applyNumberFormat="0" applyProtection="0">
      <alignment horizontal="left" vertical="center" indent="1"/>
    </xf>
    <xf numFmtId="4" fontId="48" fillId="26" borderId="119" applyNumberFormat="0" applyProtection="0">
      <alignment horizontal="right" vertical="center"/>
    </xf>
    <xf numFmtId="353" fontId="48" fillId="13" borderId="119" applyNumberFormat="0" applyFont="0" applyAlignment="0" applyProtection="0"/>
    <xf numFmtId="4" fontId="48" fillId="18" borderId="119" applyNumberFormat="0" applyProtection="0">
      <alignment vertical="center"/>
    </xf>
    <xf numFmtId="4" fontId="48" fillId="29" borderId="125" applyNumberFormat="0" applyProtection="0">
      <alignment horizontal="left" vertical="center" indent="1"/>
    </xf>
    <xf numFmtId="353" fontId="4" fillId="31" borderId="124" applyNumberFormat="0" applyProtection="0">
      <alignment horizontal="left" vertical="center" indent="1"/>
    </xf>
    <xf numFmtId="353" fontId="4" fillId="19" borderId="124" applyNumberFormat="0" applyProtection="0">
      <alignment horizontal="left" vertical="top" indent="1"/>
    </xf>
    <xf numFmtId="353" fontId="48" fillId="13" borderId="119" applyNumberFormat="0" applyFont="0" applyAlignment="0" applyProtection="0"/>
    <xf numFmtId="210" fontId="59" fillId="0" borderId="30" applyFill="0"/>
    <xf numFmtId="353" fontId="48" fillId="30" borderId="124" applyNumberFormat="0" applyProtection="0">
      <alignment horizontal="left" vertical="top"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353" fontId="48" fillId="31" borderId="124" applyNumberFormat="0" applyProtection="0">
      <alignment horizontal="left" vertical="top" indent="1"/>
    </xf>
    <xf numFmtId="4" fontId="48" fillId="19" borderId="119" applyNumberFormat="0" applyProtection="0">
      <alignment horizontal="right" vertical="center"/>
    </xf>
    <xf numFmtId="4" fontId="48" fillId="45" borderId="119" applyNumberFormat="0" applyProtection="0">
      <alignment horizontal="left" vertical="center" indent="1"/>
    </xf>
    <xf numFmtId="4" fontId="250" fillId="50" borderId="119" applyNumberFormat="0" applyProtection="0">
      <alignment horizontal="right" vertical="center"/>
    </xf>
    <xf numFmtId="353" fontId="48" fillId="30" borderId="124" applyNumberFormat="0" applyProtection="0">
      <alignment horizontal="left" vertical="top" indent="1"/>
    </xf>
    <xf numFmtId="353" fontId="252" fillId="19" borderId="124" applyNumberFormat="0" applyProtection="0">
      <alignment horizontal="left" vertical="top" indent="1"/>
    </xf>
    <xf numFmtId="4" fontId="254" fillId="33" borderId="119" applyNumberFormat="0" applyProtection="0">
      <alignment horizontal="right" vertical="center"/>
    </xf>
    <xf numFmtId="4" fontId="252" fillId="61" borderId="124" applyNumberFormat="0" applyProtection="0">
      <alignment horizontal="left" vertical="center" indent="1"/>
    </xf>
    <xf numFmtId="353" fontId="4" fillId="30" borderId="124" applyNumberFormat="0" applyProtection="0">
      <alignment horizontal="left" vertical="center" indent="1"/>
    </xf>
    <xf numFmtId="353" fontId="48" fillId="32" borderId="124" applyNumberFormat="0" applyProtection="0">
      <alignment horizontal="left" vertical="top" indent="1"/>
    </xf>
    <xf numFmtId="353" fontId="48" fillId="19" borderId="124" applyNumberFormat="0" applyProtection="0">
      <alignment horizontal="left" vertical="top" indent="1"/>
    </xf>
    <xf numFmtId="353" fontId="48" fillId="19" borderId="124" applyNumberFormat="0" applyProtection="0">
      <alignment horizontal="left" vertical="top" indent="1"/>
    </xf>
    <xf numFmtId="353" fontId="48" fillId="31" borderId="124" applyNumberFormat="0" applyProtection="0">
      <alignment horizontal="left" vertical="top" indent="1"/>
    </xf>
    <xf numFmtId="353" fontId="4" fillId="30" borderId="124" applyNumberFormat="0" applyProtection="0">
      <alignment horizontal="left" vertical="top" indent="1"/>
    </xf>
    <xf numFmtId="4" fontId="4" fillId="31" borderId="125" applyNumberFormat="0" applyProtection="0">
      <alignment horizontal="left" vertical="center" indent="1"/>
    </xf>
    <xf numFmtId="353" fontId="4" fillId="31" borderId="124" applyNumberFormat="0" applyProtection="0">
      <alignment horizontal="left" vertical="top" indent="1"/>
    </xf>
    <xf numFmtId="4" fontId="48" fillId="22" borderId="125" applyNumberFormat="0" applyProtection="0">
      <alignment horizontal="right" vertical="center"/>
    </xf>
    <xf numFmtId="353" fontId="48" fillId="61" borderId="119" applyNumberFormat="0" applyProtection="0">
      <alignment horizontal="left" vertical="center" indent="1"/>
    </xf>
    <xf numFmtId="4" fontId="48" fillId="45" borderId="119" applyNumberFormat="0" applyProtection="0">
      <alignment horizontal="left" vertical="center" indent="1"/>
    </xf>
    <xf numFmtId="353" fontId="48" fillId="13" borderId="119" applyNumberFormat="0" applyFont="0" applyAlignment="0" applyProtection="0"/>
    <xf numFmtId="353" fontId="48" fillId="13" borderId="119" applyNumberFormat="0" applyFont="0" applyAlignment="0" applyProtection="0"/>
    <xf numFmtId="353" fontId="248" fillId="128" borderId="119" applyNumberFormat="0" applyAlignment="0" applyProtection="0"/>
    <xf numFmtId="353" fontId="48" fillId="13" borderId="119" applyNumberFormat="0" applyFont="0" applyAlignment="0" applyProtection="0"/>
    <xf numFmtId="4" fontId="48" fillId="20" borderId="119" applyNumberFormat="0" applyProtection="0">
      <alignment horizontal="right" vertical="center"/>
    </xf>
    <xf numFmtId="4" fontId="48" fillId="29" borderId="125" applyNumberFormat="0" applyProtection="0">
      <alignment horizontal="left" vertical="center" indent="1"/>
    </xf>
    <xf numFmtId="353" fontId="4" fillId="31" borderId="124" applyNumberFormat="0" applyProtection="0">
      <alignment horizontal="left" vertical="top" indent="1"/>
    </xf>
    <xf numFmtId="353" fontId="48" fillId="83" borderId="119" applyNumberFormat="0" applyProtection="0">
      <alignment horizontal="left" vertical="center" indent="1"/>
    </xf>
    <xf numFmtId="353" fontId="48" fillId="19" borderId="124" applyNumberFormat="0" applyProtection="0">
      <alignment horizontal="left" vertical="top" indent="1"/>
    </xf>
    <xf numFmtId="353" fontId="48" fillId="32" borderId="124" applyNumberFormat="0" applyProtection="0">
      <alignment horizontal="left" vertical="top" indent="1"/>
    </xf>
    <xf numFmtId="353" fontId="48" fillId="31" borderId="124" applyNumberFormat="0" applyProtection="0">
      <alignment horizontal="left" vertical="top" indent="1"/>
    </xf>
    <xf numFmtId="4" fontId="48" fillId="28" borderId="119" applyNumberFormat="0" applyProtection="0">
      <alignment horizontal="right" vertical="center"/>
    </xf>
    <xf numFmtId="4" fontId="48" fillId="27" borderId="119" applyNumberFormat="0" applyProtection="0">
      <alignment horizontal="right" vertical="center"/>
    </xf>
    <xf numFmtId="353" fontId="48" fillId="31" borderId="124" applyNumberFormat="0" applyProtection="0">
      <alignment horizontal="left" vertical="top" indent="1"/>
    </xf>
    <xf numFmtId="353" fontId="48" fillId="32" borderId="124" applyNumberFormat="0" applyProtection="0">
      <alignment horizontal="left" vertical="top" indent="1"/>
    </xf>
    <xf numFmtId="353" fontId="248" fillId="128" borderId="119" applyNumberFormat="0" applyAlignment="0" applyProtection="0"/>
    <xf numFmtId="353" fontId="48" fillId="19" borderId="124" applyNumberFormat="0" applyProtection="0">
      <alignment horizontal="left" vertical="top" indent="1"/>
    </xf>
    <xf numFmtId="353" fontId="48" fillId="30" borderId="124" applyNumberFormat="0" applyProtection="0">
      <alignment horizontal="left" vertical="top" indent="1"/>
    </xf>
    <xf numFmtId="4" fontId="48" fillId="64" borderId="119" applyNumberFormat="0" applyProtection="0">
      <alignment horizontal="left" vertical="center" indent="1"/>
    </xf>
    <xf numFmtId="4" fontId="48" fillId="0" borderId="119" applyNumberFormat="0" applyProtection="0">
      <alignment horizontal="right" vertical="center"/>
    </xf>
    <xf numFmtId="353" fontId="48" fillId="13" borderId="119" applyNumberFormat="0" applyFont="0" applyAlignment="0" applyProtection="0"/>
    <xf numFmtId="353" fontId="137" fillId="14" borderId="119" applyNumberFormat="0" applyAlignment="0" applyProtection="0"/>
    <xf numFmtId="353" fontId="251" fillId="18" borderId="124" applyNumberFormat="0" applyProtection="0">
      <alignment horizontal="left" vertical="top" indent="1"/>
    </xf>
    <xf numFmtId="353" fontId="48" fillId="13" borderId="119" applyNumberFormat="0" applyFont="0" applyAlignment="0" applyProtection="0"/>
    <xf numFmtId="353" fontId="48" fillId="30" borderId="119"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48" fillId="128" borderId="119" applyNumberFormat="0" applyAlignment="0" applyProtection="0"/>
    <xf numFmtId="4" fontId="250" fillId="50" borderId="119" applyNumberFormat="0" applyProtection="0">
      <alignment horizontal="right" vertical="center"/>
    </xf>
    <xf numFmtId="353" fontId="137" fillId="14" borderId="119" applyNumberFormat="0" applyAlignment="0" applyProtection="0"/>
    <xf numFmtId="164" fontId="7" fillId="0" borderId="0" applyFont="0" applyFill="0" applyBorder="0" applyAlignment="0" applyProtection="0"/>
    <xf numFmtId="353" fontId="248" fillId="128" borderId="119" applyNumberFormat="0" applyAlignment="0" applyProtection="0"/>
    <xf numFmtId="4" fontId="48" fillId="45" borderId="119" applyNumberFormat="0" applyProtection="0">
      <alignment horizontal="left" vertical="center" indent="1"/>
    </xf>
    <xf numFmtId="353" fontId="137" fillId="14" borderId="119" applyNumberFormat="0" applyAlignment="0" applyProtection="0"/>
    <xf numFmtId="4" fontId="48" fillId="64" borderId="119" applyNumberFormat="0" applyProtection="0">
      <alignment horizontal="left" vertical="center" indent="1"/>
    </xf>
    <xf numFmtId="4" fontId="48" fillId="26" borderId="119" applyNumberFormat="0" applyProtection="0">
      <alignment horizontal="right" vertical="center"/>
    </xf>
    <xf numFmtId="164" fontId="7" fillId="0" borderId="0" applyFont="0" applyFill="0" applyBorder="0" applyAlignment="0" applyProtection="0"/>
    <xf numFmtId="4" fontId="254" fillId="33" borderId="119" applyNumberFormat="0" applyProtection="0">
      <alignment horizontal="right" vertical="center"/>
    </xf>
    <xf numFmtId="4" fontId="48" fillId="23" borderId="119" applyNumberFormat="0" applyProtection="0">
      <alignment horizontal="right" vertical="center"/>
    </xf>
  </cellStyleXfs>
  <cellXfs count="1006">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7" xfId="75" applyFont="1" applyBorder="1" applyProtection="1"/>
    <xf numFmtId="0" fontId="20" fillId="41" borderId="7" xfId="75" applyFont="1" applyFill="1" applyBorder="1" applyProtection="1"/>
    <xf numFmtId="0" fontId="20" fillId="37" borderId="7" xfId="75" applyFont="1" applyFill="1" applyBorder="1" applyProtection="1"/>
    <xf numFmtId="0" fontId="20" fillId="40" borderId="7" xfId="75" applyFont="1" applyFill="1" applyBorder="1" applyProtection="1"/>
    <xf numFmtId="0" fontId="20" fillId="39" borderId="7" xfId="75" applyFont="1" applyFill="1" applyBorder="1" applyProtection="1"/>
    <xf numFmtId="0" fontId="20" fillId="38" borderId="7" xfId="75" applyFont="1" applyFill="1" applyBorder="1" applyProtection="1"/>
    <xf numFmtId="0" fontId="20" fillId="0" borderId="0" xfId="75" applyFont="1" applyProtection="1">
      <protection locked="0"/>
    </xf>
    <xf numFmtId="0" fontId="20" fillId="36" borderId="7" xfId="75" applyFont="1" applyFill="1" applyBorder="1" applyProtection="1"/>
    <xf numFmtId="0" fontId="3" fillId="0" borderId="0" xfId="0" applyFont="1" applyAlignment="1">
      <alignment horizontal="left" vertical="top"/>
    </xf>
    <xf numFmtId="0" fontId="3" fillId="0" borderId="0" xfId="0" applyFont="1"/>
    <xf numFmtId="0" fontId="21" fillId="0" borderId="0" xfId="0" applyFont="1"/>
    <xf numFmtId="0" fontId="22" fillId="0" borderId="0" xfId="0" applyFont="1"/>
    <xf numFmtId="0" fontId="5" fillId="42" borderId="0" xfId="7" applyFont="1" applyFill="1" applyBorder="1"/>
    <xf numFmtId="0" fontId="4" fillId="42" borderId="0" xfId="88" applyFill="1" applyBorder="1"/>
    <xf numFmtId="0" fontId="5" fillId="46" borderId="7" xfId="7" applyFont="1" applyFill="1" applyBorder="1" applyAlignment="1">
      <alignment horizontal="center"/>
    </xf>
    <xf numFmtId="0" fontId="5" fillId="0" borderId="7" xfId="7" applyFont="1" applyBorder="1" applyAlignment="1">
      <alignment horizontal="center"/>
    </xf>
    <xf numFmtId="0" fontId="0" fillId="0" borderId="0" xfId="0" applyAlignment="1">
      <alignment horizontal="center" vertical="top" wrapText="1"/>
    </xf>
    <xf numFmtId="0" fontId="19" fillId="0" borderId="0" xfId="75" applyFont="1"/>
    <xf numFmtId="0" fontId="28" fillId="0" borderId="0" xfId="75" applyFont="1"/>
    <xf numFmtId="0" fontId="19" fillId="0" borderId="7" xfId="75" applyFont="1" applyBorder="1" applyAlignment="1">
      <alignment horizontal="center"/>
    </xf>
    <xf numFmtId="0" fontId="27" fillId="47" borderId="0"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0" fillId="0" borderId="0" xfId="0" applyFill="1" applyAlignment="1">
      <alignment horizontal="left" vertical="top"/>
    </xf>
    <xf numFmtId="0" fontId="0" fillId="0" borderId="0" xfId="0" applyFont="1" applyFill="1"/>
    <xf numFmtId="0" fontId="0" fillId="42" borderId="0" xfId="0" applyFill="1" applyAlignment="1">
      <alignment horizontal="right" vertical="top"/>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0" fontId="5" fillId="36" borderId="7" xfId="75" applyFont="1" applyFill="1" applyBorder="1" applyAlignment="1" applyProtection="1">
      <alignment horizontal="right" vertical="center"/>
    </xf>
    <xf numFmtId="175" fontId="5" fillId="36" borderId="7" xfId="75" applyNumberFormat="1" applyFont="1" applyFill="1" applyBorder="1" applyProtection="1"/>
    <xf numFmtId="0" fontId="28" fillId="0" borderId="7" xfId="75" applyFont="1" applyBorder="1" applyAlignment="1">
      <alignment horizontal="center" vertical="center"/>
    </xf>
    <xf numFmtId="0" fontId="0" fillId="0" borderId="0" xfId="0" applyAlignment="1">
      <alignment vertical="center"/>
    </xf>
    <xf numFmtId="0" fontId="3" fillId="0" borderId="0" xfId="0" applyFont="1" applyFill="1" applyAlignment="1">
      <alignment horizontal="left" vertical="top"/>
    </xf>
    <xf numFmtId="173" fontId="0" fillId="0" borderId="0" xfId="0" applyNumberFormat="1" applyAlignment="1">
      <alignment horizontal="right" vertical="top"/>
    </xf>
    <xf numFmtId="0" fontId="0" fillId="0" borderId="0" xfId="0" applyBorder="1" applyAlignment="1">
      <alignment horizontal="center" wrapText="1"/>
    </xf>
    <xf numFmtId="0" fontId="21" fillId="0" borderId="0" xfId="0" applyFont="1" applyAlignment="1">
      <alignment horizontal="right" indent="1"/>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5" fillId="0" borderId="0" xfId="7" applyFont="1" applyBorder="1" applyAlignment="1">
      <alignment horizontal="center"/>
    </xf>
    <xf numFmtId="0" fontId="5" fillId="0" borderId="61" xfId="7" applyFont="1" applyFill="1" applyBorder="1" applyAlignment="1">
      <alignment horizontal="left" indent="1"/>
    </xf>
    <xf numFmtId="170" fontId="0" fillId="0" borderId="62" xfId="77" applyNumberFormat="1" applyFont="1" applyBorder="1"/>
    <xf numFmtId="0" fontId="0" fillId="0" borderId="62" xfId="0" applyBorder="1"/>
    <xf numFmtId="0" fontId="0" fillId="0" borderId="63" xfId="0" applyBorder="1"/>
    <xf numFmtId="3" fontId="5" fillId="0" borderId="64" xfId="89" applyNumberFormat="1" applyFont="1" applyFill="1" applyBorder="1" applyAlignment="1">
      <alignment horizontal="left" indent="1"/>
    </xf>
    <xf numFmtId="3" fontId="5" fillId="0" borderId="67" xfId="89" applyNumberFormat="1" applyFont="1" applyFill="1" applyBorder="1" applyAlignment="1">
      <alignment horizontal="left" inden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 xfId="0" applyFill="1" applyBorder="1" applyAlignment="1">
      <alignment horizontal="center" vertical="center" wrapText="1"/>
    </xf>
    <xf numFmtId="0" fontId="5" fillId="0" borderId="7" xfId="7" applyFont="1" applyBorder="1" applyAlignment="1">
      <alignment horizontal="left" indent="1"/>
    </xf>
    <xf numFmtId="0" fontId="5" fillId="0" borderId="7" xfId="7" applyFont="1" applyBorder="1" applyAlignment="1">
      <alignment horizontal="left" wrapText="1" indent="1"/>
    </xf>
    <xf numFmtId="0" fontId="5" fillId="42" borderId="8"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7" xfId="1" applyNumberFormat="1" applyFont="1" applyFill="1" applyBorder="1" applyAlignment="1" applyProtection="1">
      <alignment horizontal="right" vertical="center"/>
    </xf>
    <xf numFmtId="0" fontId="5" fillId="36" borderId="7" xfId="75" applyFont="1" applyFill="1" applyBorder="1" applyAlignment="1" applyProtection="1">
      <alignment vertical="center"/>
    </xf>
    <xf numFmtId="0" fontId="5" fillId="36" borderId="7" xfId="75" applyNumberFormat="1" applyFont="1" applyFill="1" applyBorder="1" applyAlignment="1" applyProtection="1">
      <alignment vertical="center"/>
    </xf>
    <xf numFmtId="175" fontId="5" fillId="36" borderId="7" xfId="75" applyNumberFormat="1" applyFont="1" applyFill="1" applyBorder="1" applyAlignment="1" applyProtection="1">
      <alignment vertical="center"/>
    </xf>
    <xf numFmtId="170" fontId="5" fillId="38" borderId="7" xfId="77" applyNumberFormat="1" applyFont="1" applyFill="1" applyBorder="1" applyAlignment="1" applyProtection="1">
      <alignment vertical="center"/>
    </xf>
    <xf numFmtId="10" fontId="5" fillId="38" borderId="7"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7" xfId="0" applyFill="1" applyBorder="1" applyAlignment="1">
      <alignment horizontal="center"/>
    </xf>
    <xf numFmtId="1" fontId="3" fillId="2" borderId="61" xfId="0" applyNumberFormat="1" applyFont="1" applyFill="1" applyBorder="1" applyAlignment="1">
      <alignment horizontal="center" vertical="center"/>
    </xf>
    <xf numFmtId="1" fontId="3" fillId="2" borderId="62" xfId="0" applyNumberFormat="1" applyFont="1" applyFill="1" applyBorder="1" applyAlignment="1">
      <alignment horizontal="center" vertical="center"/>
    </xf>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72" fontId="5" fillId="38" borderId="61" xfId="1" applyNumberFormat="1" applyFont="1" applyFill="1" applyBorder="1" applyProtection="1"/>
    <xf numFmtId="172" fontId="5" fillId="38" borderId="62" xfId="1" applyNumberFormat="1" applyFont="1" applyFill="1" applyBorder="1" applyProtection="1"/>
    <xf numFmtId="172" fontId="5" fillId="38" borderId="63"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 fontId="3" fillId="2" borderId="61" xfId="0" applyNumberFormat="1" applyFont="1" applyFill="1" applyBorder="1" applyAlignment="1">
      <alignment horizontal="center" vertical="center" wrapTex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65" fontId="5" fillId="52" borderId="70" xfId="2" applyNumberFormat="1" applyFont="1" applyFill="1" applyBorder="1" applyAlignment="1">
      <alignment vertical="center"/>
    </xf>
    <xf numFmtId="165" fontId="5" fillId="52" borderId="72" xfId="2" applyNumberFormat="1" applyFont="1" applyFill="1" applyBorder="1" applyAlignment="1">
      <alignment vertical="center"/>
    </xf>
    <xf numFmtId="165" fontId="5" fillId="52" borderId="61" xfId="2" applyNumberFormat="1" applyFont="1" applyFill="1" applyBorder="1" applyAlignment="1">
      <alignment vertical="center"/>
    </xf>
    <xf numFmtId="165" fontId="5" fillId="52" borderId="63" xfId="2" applyNumberFormat="1" applyFont="1" applyFill="1" applyBorder="1" applyAlignment="1">
      <alignment vertical="center"/>
    </xf>
    <xf numFmtId="10" fontId="0" fillId="51" borderId="73" xfId="0" applyNumberFormat="1" applyFill="1" applyBorder="1" applyAlignment="1">
      <alignment horizontal="right" vertical="top"/>
    </xf>
    <xf numFmtId="10" fontId="0" fillId="51" borderId="74" xfId="0" applyNumberFormat="1" applyFill="1" applyBorder="1" applyAlignment="1">
      <alignment horizontal="right" vertical="top"/>
    </xf>
    <xf numFmtId="10" fontId="0" fillId="51" borderId="75" xfId="0" applyNumberFormat="1" applyFill="1" applyBorder="1" applyAlignment="1">
      <alignment horizontal="right" vertical="top"/>
    </xf>
    <xf numFmtId="178" fontId="0" fillId="51" borderId="73" xfId="0" applyNumberFormat="1" applyFill="1" applyBorder="1" applyAlignment="1">
      <alignment horizontal="right" vertical="top"/>
    </xf>
    <xf numFmtId="178" fontId="0" fillId="51" borderId="74" xfId="0" applyNumberFormat="1" applyFill="1" applyBorder="1" applyAlignment="1">
      <alignment horizontal="right" vertical="top"/>
    </xf>
    <xf numFmtId="178" fontId="0" fillId="51" borderId="75" xfId="0" applyNumberFormat="1" applyFill="1" applyBorder="1" applyAlignment="1">
      <alignment horizontal="right" vertical="top"/>
    </xf>
    <xf numFmtId="0" fontId="3" fillId="53" borderId="0" xfId="0" applyFont="1" applyFill="1" applyAlignment="1">
      <alignment horizontal="left" vertical="top"/>
    </xf>
    <xf numFmtId="1" fontId="3" fillId="2" borderId="73" xfId="0" applyNumberFormat="1" applyFont="1" applyFill="1" applyBorder="1" applyAlignment="1">
      <alignment horizontal="center" vertical="center"/>
    </xf>
    <xf numFmtId="1" fontId="3" fillId="2" borderId="74" xfId="0" applyNumberFormat="1" applyFont="1" applyFill="1" applyBorder="1" applyAlignment="1">
      <alignment horizontal="center" vertical="center"/>
    </xf>
    <xf numFmtId="1" fontId="3" fillId="2" borderId="75" xfId="0" applyNumberFormat="1" applyFont="1" applyFill="1" applyBorder="1" applyAlignment="1">
      <alignment horizontal="center" wrapText="1"/>
    </xf>
    <xf numFmtId="0" fontId="25" fillId="47" borderId="55" xfId="90" applyFont="1" applyFill="1" applyBorder="1" applyAlignment="1">
      <alignment horizontal="left"/>
    </xf>
    <xf numFmtId="0" fontId="27" fillId="47" borderId="13" xfId="75" applyFont="1" applyFill="1" applyBorder="1" applyAlignment="1" applyProtection="1"/>
    <xf numFmtId="0" fontId="26" fillId="47" borderId="55" xfId="75" applyFont="1" applyFill="1" applyBorder="1" applyAlignment="1" applyProtection="1"/>
    <xf numFmtId="0" fontId="27" fillId="47" borderId="55"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173" fontId="0" fillId="53" borderId="0" xfId="0" applyNumberFormat="1" applyFill="1" applyAlignment="1">
      <alignment horizontal="right" vertical="top"/>
    </xf>
    <xf numFmtId="0" fontId="0" fillId="0" borderId="0" xfId="0" applyAlignment="1">
      <alignment horizontal="center" vertical="center"/>
    </xf>
    <xf numFmtId="172" fontId="6" fillId="38" borderId="67" xfId="1" applyNumberFormat="1" applyFont="1" applyFill="1" applyBorder="1" applyProtection="1"/>
    <xf numFmtId="172" fontId="6" fillId="38" borderId="68" xfId="1" applyNumberFormat="1" applyFont="1" applyFill="1" applyBorder="1" applyProtection="1"/>
    <xf numFmtId="172" fontId="6" fillId="38" borderId="69" xfId="1" applyNumberFormat="1" applyFont="1" applyFill="1" applyBorder="1" applyProtection="1"/>
    <xf numFmtId="172" fontId="6" fillId="38" borderId="61" xfId="1" applyNumberFormat="1" applyFont="1" applyFill="1" applyBorder="1" applyProtection="1"/>
    <xf numFmtId="172" fontId="6" fillId="38" borderId="62" xfId="1" applyNumberFormat="1" applyFont="1" applyFill="1" applyBorder="1" applyProtection="1"/>
    <xf numFmtId="172" fontId="6" fillId="38" borderId="63" xfId="1" applyNumberFormat="1" applyFont="1" applyFill="1" applyBorder="1" applyProtection="1"/>
    <xf numFmtId="172" fontId="6" fillId="38" borderId="73" xfId="1" applyNumberFormat="1" applyFont="1" applyFill="1" applyBorder="1" applyProtection="1"/>
    <xf numFmtId="172" fontId="6" fillId="38" borderId="74" xfId="1" applyNumberFormat="1" applyFont="1" applyFill="1" applyBorder="1" applyProtection="1"/>
    <xf numFmtId="172" fontId="6" fillId="38" borderId="75"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Alignment="1">
      <alignment horizontal="center" vertical="center"/>
    </xf>
    <xf numFmtId="0" fontId="0" fillId="0" borderId="0" xfId="0" applyAlignment="1">
      <alignment horizontal="right" vertical="top" indent="1"/>
    </xf>
    <xf numFmtId="0" fontId="5" fillId="42" borderId="61" xfId="7" applyFont="1" applyFill="1" applyBorder="1" applyAlignment="1">
      <alignment horizontal="center" vertical="top"/>
    </xf>
    <xf numFmtId="0" fontId="5" fillId="0" borderId="62" xfId="7" applyFont="1" applyBorder="1" applyAlignment="1">
      <alignment horizontal="center"/>
    </xf>
    <xf numFmtId="9" fontId="0" fillId="0" borderId="63" xfId="0" applyNumberFormat="1" applyBorder="1" applyAlignment="1">
      <alignment horizontal="center"/>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0" borderId="68" xfId="7" applyFont="1" applyBorder="1" applyAlignment="1">
      <alignment horizontal="center"/>
    </xf>
    <xf numFmtId="1" fontId="5" fillId="0" borderId="62" xfId="7" applyNumberFormat="1" applyFont="1" applyBorder="1" applyAlignment="1">
      <alignment horizontal="center"/>
    </xf>
    <xf numFmtId="1" fontId="5" fillId="0" borderId="65"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4" xfId="77" applyNumberFormat="1" applyFont="1" applyFill="1" applyBorder="1" applyProtection="1"/>
    <xf numFmtId="170" fontId="5" fillId="38" borderId="65" xfId="77" applyNumberFormat="1" applyFont="1" applyFill="1" applyBorder="1" applyProtection="1"/>
    <xf numFmtId="170" fontId="5" fillId="38" borderId="66" xfId="77" applyNumberFormat="1" applyFont="1" applyFill="1" applyBorder="1" applyProtection="1"/>
    <xf numFmtId="172" fontId="5" fillId="39" borderId="61" xfId="1" applyNumberFormat="1" applyFont="1" applyFill="1" applyBorder="1" applyProtection="1"/>
    <xf numFmtId="172" fontId="5" fillId="39" borderId="62" xfId="1" applyNumberFormat="1" applyFont="1" applyFill="1" applyBorder="1" applyProtection="1"/>
    <xf numFmtId="172" fontId="5" fillId="39" borderId="63"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0" fontId="5" fillId="38" borderId="70" xfId="77" applyNumberFormat="1" applyFont="1" applyFill="1" applyBorder="1" applyProtection="1"/>
    <xf numFmtId="170" fontId="5" fillId="38" borderId="71" xfId="77" applyNumberFormat="1" applyFont="1" applyFill="1" applyBorder="1" applyProtection="1"/>
    <xf numFmtId="170" fontId="5" fillId="38" borderId="72" xfId="77" applyNumberFormat="1" applyFont="1" applyFill="1" applyBorder="1" applyProtection="1"/>
    <xf numFmtId="170" fontId="6" fillId="38" borderId="61" xfId="77" applyNumberFormat="1" applyFont="1" applyFill="1" applyBorder="1" applyProtection="1"/>
    <xf numFmtId="170" fontId="6" fillId="38" borderId="62" xfId="77" applyNumberFormat="1" applyFont="1" applyFill="1" applyBorder="1" applyProtection="1"/>
    <xf numFmtId="170" fontId="6" fillId="38" borderId="63" xfId="77" applyNumberFormat="1" applyFont="1" applyFill="1" applyBorder="1" applyProtection="1"/>
    <xf numFmtId="170" fontId="6" fillId="38" borderId="73" xfId="77" applyNumberFormat="1" applyFont="1" applyFill="1" applyBorder="1" applyProtection="1"/>
    <xf numFmtId="170" fontId="6" fillId="38" borderId="74" xfId="77" applyNumberFormat="1" applyFont="1" applyFill="1" applyBorder="1" applyProtection="1"/>
    <xf numFmtId="170" fontId="6" fillId="38" borderId="75" xfId="77" applyNumberFormat="1" applyFont="1" applyFill="1" applyBorder="1" applyProtection="1"/>
    <xf numFmtId="1" fontId="3" fillId="2" borderId="63" xfId="0" applyNumberFormat="1" applyFont="1" applyFill="1" applyBorder="1" applyAlignment="1">
      <alignment horizontal="center" vertical="center" wrapText="1"/>
    </xf>
    <xf numFmtId="1" fontId="3" fillId="2" borderId="75"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0" fillId="0" borderId="0" xfId="0" applyFont="1"/>
    <xf numFmtId="0" fontId="0" fillId="0" borderId="12" xfId="0" applyBorder="1"/>
    <xf numFmtId="0" fontId="0" fillId="0" borderId="13"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3" xfId="0" applyBorder="1" applyAlignment="1">
      <alignment horizontal="center" vertical="center" wrapText="1"/>
    </xf>
    <xf numFmtId="0" fontId="0" fillId="0" borderId="61" xfId="0" applyBorder="1" applyAlignment="1">
      <alignment horizontal="left" vertical="center" wrapText="1" indent="1"/>
    </xf>
    <xf numFmtId="0" fontId="0" fillId="0" borderId="67"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5" xfId="0" applyNumberFormat="1" applyBorder="1"/>
    <xf numFmtId="10" fontId="0" fillId="0" borderId="66"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left" vertical="top" indent="1"/>
    </xf>
    <xf numFmtId="170" fontId="0" fillId="52" borderId="73" xfId="0" applyNumberFormat="1" applyFill="1" applyBorder="1"/>
    <xf numFmtId="170" fontId="0" fillId="52" borderId="74" xfId="0" applyNumberFormat="1" applyFill="1" applyBorder="1"/>
    <xf numFmtId="170" fontId="0" fillId="52" borderId="75"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3" xfId="0" applyNumberFormat="1" applyFill="1" applyBorder="1" applyAlignment="1">
      <alignment horizontal="right"/>
    </xf>
    <xf numFmtId="170" fontId="0" fillId="52" borderId="74" xfId="0" applyNumberFormat="1" applyFill="1" applyBorder="1" applyAlignment="1">
      <alignment horizontal="right"/>
    </xf>
    <xf numFmtId="170" fontId="0" fillId="52" borderId="75" xfId="0" applyNumberFormat="1" applyFill="1" applyBorder="1" applyAlignment="1">
      <alignment horizontal="right"/>
    </xf>
    <xf numFmtId="172" fontId="5" fillId="39" borderId="88" xfId="1" applyNumberFormat="1" applyFont="1" applyFill="1" applyBorder="1" applyProtection="1"/>
    <xf numFmtId="172" fontId="5" fillId="39" borderId="84" xfId="1" applyNumberFormat="1" applyFont="1" applyFill="1" applyBorder="1" applyProtection="1"/>
    <xf numFmtId="172" fontId="5" fillId="39" borderId="85" xfId="1" applyNumberFormat="1" applyFont="1" applyFill="1" applyBorder="1" applyProtection="1"/>
    <xf numFmtId="172" fontId="6" fillId="38" borderId="88" xfId="1" applyNumberFormat="1" applyFont="1" applyFill="1" applyBorder="1" applyProtection="1"/>
    <xf numFmtId="172" fontId="6" fillId="38" borderId="83" xfId="1" applyNumberFormat="1" applyFont="1" applyFill="1" applyBorder="1" applyProtection="1"/>
    <xf numFmtId="172" fontId="5" fillId="39" borderId="89"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0"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3" xfId="77" applyNumberFormat="1" applyFont="1" applyFill="1" applyBorder="1" applyAlignment="1" applyProtection="1">
      <alignment horizontal="center"/>
    </xf>
    <xf numFmtId="0" fontId="27" fillId="47" borderId="91" xfId="75" applyFont="1" applyFill="1" applyBorder="1" applyAlignment="1" applyProtection="1"/>
    <xf numFmtId="0" fontId="25" fillId="47" borderId="23" xfId="90" applyFont="1" applyFill="1" applyBorder="1" applyAlignment="1">
      <alignment horizontal="left"/>
    </xf>
    <xf numFmtId="0" fontId="26" fillId="47" borderId="23" xfId="75" applyFont="1" applyFill="1" applyBorder="1" applyAlignment="1" applyProtection="1"/>
    <xf numFmtId="0" fontId="27" fillId="47" borderId="23" xfId="75" applyFont="1" applyFill="1" applyBorder="1" applyAlignment="1" applyProtection="1"/>
    <xf numFmtId="0" fontId="25" fillId="47" borderId="91" xfId="90" applyFont="1" applyFill="1" applyBorder="1" applyAlignment="1">
      <alignment horizontal="left"/>
    </xf>
    <xf numFmtId="0" fontId="27" fillId="47" borderId="95"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0" fontId="0" fillId="0" borderId="23" xfId="0" applyBorder="1"/>
    <xf numFmtId="0" fontId="0" fillId="47" borderId="23" xfId="0" applyFill="1" applyBorder="1"/>
    <xf numFmtId="0" fontId="0" fillId="47" borderId="23" xfId="0" applyFill="1" applyBorder="1" applyAlignment="1">
      <alignment horizontal="center" vertical="center"/>
    </xf>
    <xf numFmtId="0" fontId="25" fillId="47" borderId="91" xfId="90" applyFont="1" applyFill="1" applyBorder="1" applyAlignment="1">
      <alignment horizontal="center" vertical="center"/>
    </xf>
    <xf numFmtId="0" fontId="25" fillId="47" borderId="23" xfId="90" applyFont="1" applyFill="1" applyBorder="1" applyAlignment="1">
      <alignment horizontal="center" vertical="center"/>
    </xf>
    <xf numFmtId="0" fontId="30" fillId="47" borderId="91" xfId="90" applyFont="1" applyFill="1" applyBorder="1" applyAlignment="1">
      <alignment horizontal="left"/>
    </xf>
    <xf numFmtId="0" fontId="30" fillId="47" borderId="91" xfId="90" applyFont="1" applyFill="1" applyBorder="1" applyAlignment="1">
      <alignment horizontal="center" vertical="center"/>
    </xf>
    <xf numFmtId="1" fontId="3" fillId="2" borderId="75" xfId="0" applyNumberFormat="1" applyFont="1" applyFill="1" applyBorder="1" applyAlignment="1">
      <alignment horizontal="center" vertical="center" wrapText="1"/>
    </xf>
    <xf numFmtId="165" fontId="6" fillId="0" borderId="0" xfId="2" applyNumberFormat="1" applyFont="1" applyFill="1" applyBorder="1" applyAlignment="1">
      <alignment vertical="center"/>
    </xf>
    <xf numFmtId="0" fontId="0" fillId="0" borderId="93" xfId="0" applyBorder="1"/>
    <xf numFmtId="0" fontId="0" fillId="53" borderId="0" xfId="0" applyFill="1" applyAlignment="1">
      <alignment wrapText="1"/>
    </xf>
    <xf numFmtId="0" fontId="29" fillId="0" borderId="0" xfId="92" applyAlignment="1">
      <alignment horizontal="left" indent="1"/>
    </xf>
    <xf numFmtId="0" fontId="0" fillId="42" borderId="65" xfId="0" applyFill="1" applyBorder="1" applyAlignment="1">
      <alignment horizontal="left" vertical="top" wrapText="1"/>
    </xf>
    <xf numFmtId="0" fontId="0" fillId="42" borderId="68"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69"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0" borderId="94" xfId="0" applyBorder="1"/>
    <xf numFmtId="0" fontId="0" fillId="0" borderId="91" xfId="0" applyBorder="1"/>
    <xf numFmtId="0" fontId="0" fillId="0" borderId="95" xfId="0" applyBorder="1"/>
    <xf numFmtId="348" fontId="242" fillId="0" borderId="0" xfId="0" applyNumberFormat="1" applyFont="1" applyFill="1" applyBorder="1" applyAlignment="1">
      <alignment vertical="center"/>
    </xf>
    <xf numFmtId="10" fontId="0" fillId="0" borderId="62" xfId="0" applyNumberFormat="1" applyBorder="1"/>
    <xf numFmtId="10" fontId="0" fillId="0" borderId="63" xfId="0" applyNumberFormat="1" applyBorder="1"/>
    <xf numFmtId="10" fontId="0" fillId="0" borderId="68" xfId="0" applyNumberFormat="1" applyBorder="1"/>
    <xf numFmtId="0" fontId="0" fillId="0" borderId="61" xfId="0" applyBorder="1" applyAlignment="1">
      <alignment horizontal="left" indent="1"/>
    </xf>
    <xf numFmtId="0" fontId="0" fillId="0" borderId="64" xfId="0" applyBorder="1" applyAlignment="1">
      <alignment horizontal="left" indent="1"/>
    </xf>
    <xf numFmtId="0" fontId="0" fillId="0" borderId="67" xfId="0" applyBorder="1" applyAlignment="1">
      <alignment horizontal="left" indent="1"/>
    </xf>
    <xf numFmtId="0" fontId="0" fillId="0" borderId="0" xfId="0" applyBorder="1" applyAlignment="1">
      <alignment horizontal="left" indent="1"/>
    </xf>
    <xf numFmtId="170" fontId="0" fillId="0" borderId="61" xfId="77" applyNumberFormat="1" applyFont="1" applyBorder="1"/>
    <xf numFmtId="170" fontId="0" fillId="0" borderId="64" xfId="77" applyNumberFormat="1" applyFont="1" applyBorder="1" applyAlignment="1">
      <alignment horizontal="center"/>
    </xf>
    <xf numFmtId="10" fontId="0" fillId="0" borderId="65" xfId="77" applyNumberFormat="1" applyFont="1" applyBorder="1" applyAlignment="1">
      <alignment horizontal="center"/>
    </xf>
    <xf numFmtId="170" fontId="0" fillId="0" borderId="65" xfId="77" applyNumberFormat="1" applyFont="1" applyBorder="1" applyAlignment="1">
      <alignment horizontal="center"/>
    </xf>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0" fontId="0" fillId="0" borderId="7" xfId="0" applyNumberFormat="1" applyBorder="1" applyAlignment="1">
      <alignment horizontal="center" vertical="center"/>
    </xf>
    <xf numFmtId="1" fontId="3" fillId="2" borderId="7" xfId="0" applyNumberFormat="1" applyFont="1" applyFill="1" applyBorder="1" applyAlignment="1">
      <alignment horizontal="center" vertical="center"/>
    </xf>
    <xf numFmtId="0" fontId="3" fillId="0" borderId="92" xfId="0" applyFont="1" applyBorder="1" applyAlignment="1">
      <alignment horizontal="left" indent="1"/>
    </xf>
    <xf numFmtId="1" fontId="3" fillId="2" borderId="63" xfId="0" applyNumberFormat="1" applyFont="1" applyFill="1" applyBorder="1" applyAlignment="1">
      <alignment horizontal="center" vertical="center"/>
    </xf>
    <xf numFmtId="0" fontId="0" fillId="0" borderId="12" xfId="0" applyBorder="1" applyAlignment="1">
      <alignment horizontal="left" indent="1"/>
    </xf>
    <xf numFmtId="0" fontId="3" fillId="0" borderId="12" xfId="0" applyFont="1" applyBorder="1" applyAlignment="1">
      <alignment horizontal="left" indent="1"/>
    </xf>
    <xf numFmtId="10" fontId="0" fillId="0" borderId="67"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6" xfId="0" applyBorder="1" applyAlignment="1">
      <alignment horizontal="center"/>
    </xf>
    <xf numFmtId="0" fontId="0" fillId="0" borderId="69"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5" fillId="0" borderId="28" xfId="7" applyFont="1" applyBorder="1" applyAlignment="1">
      <alignment horizontal="center" vertical="center" wrapText="1"/>
    </xf>
    <xf numFmtId="0" fontId="243" fillId="0" borderId="63" xfId="0" applyFont="1" applyBorder="1" applyAlignment="1">
      <alignment horizontal="center"/>
    </xf>
    <xf numFmtId="0" fontId="243" fillId="0" borderId="66" xfId="0" applyFont="1" applyBorder="1" applyAlignment="1">
      <alignment horizontal="center"/>
    </xf>
    <xf numFmtId="0" fontId="243" fillId="0" borderId="69" xfId="0" applyFont="1" applyBorder="1" applyAlignment="1">
      <alignment horizontal="center"/>
    </xf>
    <xf numFmtId="0" fontId="21" fillId="0" borderId="0" xfId="0" applyFont="1" applyAlignment="1">
      <alignment horizontal="center"/>
    </xf>
    <xf numFmtId="0" fontId="0" fillId="0" borderId="79" xfId="0" applyBorder="1" applyAlignment="1">
      <alignment horizontal="left" vertical="center" indent="1"/>
    </xf>
    <xf numFmtId="0" fontId="0" fillId="42" borderId="64" xfId="0" applyFill="1" applyBorder="1" applyAlignment="1">
      <alignment horizontal="left" vertical="center" wrapText="1" indent="1"/>
    </xf>
    <xf numFmtId="0" fontId="29" fillId="42" borderId="64" xfId="92" applyFill="1" applyBorder="1" applyAlignment="1">
      <alignment horizontal="left" vertical="center" wrapText="1" indent="1"/>
    </xf>
    <xf numFmtId="0" fontId="29" fillId="42" borderId="67"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5" xfId="0" applyBorder="1" applyAlignment="1">
      <alignment horizontal="center"/>
    </xf>
    <xf numFmtId="0" fontId="0" fillId="0" borderId="66" xfId="0" applyBorder="1" applyAlignment="1">
      <alignment horizontal="center"/>
    </xf>
    <xf numFmtId="1" fontId="0" fillId="0" borderId="13" xfId="0" applyNumberFormat="1" applyBorder="1" applyAlignment="1">
      <alignment horizontal="center"/>
    </xf>
    <xf numFmtId="0" fontId="0" fillId="0" borderId="8" xfId="0" applyFont="1" applyBorder="1" applyAlignment="1">
      <alignment horizontal="center" vertical="top"/>
    </xf>
    <xf numFmtId="0" fontId="0" fillId="0" borderId="30" xfId="0" applyFont="1" applyBorder="1" applyAlignment="1">
      <alignment horizontal="center" vertical="top"/>
    </xf>
    <xf numFmtId="0" fontId="0" fillId="0" borderId="9" xfId="0" applyFont="1" applyBorder="1" applyAlignment="1">
      <alignment horizontal="center" vertical="top"/>
    </xf>
    <xf numFmtId="172" fontId="0" fillId="51" borderId="64" xfId="1" applyNumberFormat="1" applyFont="1" applyFill="1" applyBorder="1" applyAlignment="1">
      <alignment horizontal="right"/>
    </xf>
    <xf numFmtId="172" fontId="0" fillId="51" borderId="73" xfId="1" applyNumberFormat="1" applyFont="1" applyFill="1" applyBorder="1" applyAlignment="1">
      <alignment horizontal="righ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8" xfId="1" applyNumberFormat="1" applyFont="1" applyFill="1" applyBorder="1" applyProtection="1"/>
    <xf numFmtId="172" fontId="5" fillId="38" borderId="104" xfId="1" applyNumberFormat="1" applyFont="1" applyFill="1" applyBorder="1" applyProtection="1"/>
    <xf numFmtId="172" fontId="5" fillId="38" borderId="106" xfId="1" applyNumberFormat="1" applyFont="1" applyFill="1" applyBorder="1" applyProtection="1"/>
    <xf numFmtId="172" fontId="6" fillId="38" borderId="104"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1" xfId="75" applyFont="1" applyFill="1" applyBorder="1" applyAlignment="1" applyProtection="1"/>
    <xf numFmtId="0" fontId="0" fillId="0" borderId="23" xfId="0" applyFill="1" applyBorder="1"/>
    <xf numFmtId="0" fontId="0" fillId="0" borderId="0" xfId="0" applyFill="1" applyBorder="1"/>
    <xf numFmtId="0" fontId="26" fillId="47" borderId="111"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0" fontId="0" fillId="0" borderId="0" xfId="0" applyFont="1" applyAlignment="1">
      <alignment horizontal="left" indent="1"/>
    </xf>
    <xf numFmtId="173" fontId="5" fillId="116" borderId="68" xfId="7" applyNumberFormat="1" applyFont="1" applyFill="1" applyBorder="1" applyAlignment="1">
      <alignment horizontal="center"/>
    </xf>
    <xf numFmtId="173" fontId="5" fillId="116" borderId="65" xfId="7" applyNumberFormat="1" applyFont="1" applyFill="1" applyBorder="1" applyAlignment="1">
      <alignment horizontal="center"/>
    </xf>
    <xf numFmtId="172" fontId="0" fillId="51" borderId="61" xfId="1" applyNumberFormat="1" applyFont="1" applyFill="1" applyBorder="1" applyAlignment="1">
      <alignment horizontal="right"/>
    </xf>
    <xf numFmtId="172" fontId="0" fillId="51" borderId="62"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70" xfId="1" applyNumberFormat="1" applyFont="1" applyFill="1" applyBorder="1" applyAlignment="1">
      <alignment horizontal="right"/>
    </xf>
    <xf numFmtId="172" fontId="0" fillId="51" borderId="71" xfId="1" applyNumberFormat="1" applyFont="1" applyFill="1" applyBorder="1" applyAlignment="1">
      <alignment horizontal="right"/>
    </xf>
    <xf numFmtId="172" fontId="0" fillId="51" borderId="63"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72" xfId="1" applyNumberFormat="1" applyFont="1" applyFill="1" applyBorder="1" applyAlignment="1">
      <alignment horizontal="right"/>
    </xf>
    <xf numFmtId="172" fontId="0" fillId="51" borderId="74" xfId="1" applyNumberFormat="1" applyFont="1" applyFill="1" applyBorder="1" applyAlignment="1">
      <alignment horizontal="right" vertical="top"/>
    </xf>
    <xf numFmtId="172" fontId="0" fillId="51" borderId="75" xfId="1" applyNumberFormat="1" applyFont="1" applyFill="1" applyBorder="1" applyAlignment="1">
      <alignment horizontal="right" vertical="top"/>
    </xf>
    <xf numFmtId="0" fontId="0" fillId="0" borderId="73" xfId="0" applyFont="1" applyBorder="1" applyAlignment="1">
      <alignment horizontal="center" vertical="top"/>
    </xf>
    <xf numFmtId="0" fontId="0" fillId="0" borderId="74" xfId="0" applyFont="1" applyBorder="1" applyAlignment="1">
      <alignment horizontal="center" vertical="top"/>
    </xf>
    <xf numFmtId="0" fontId="0" fillId="0" borderId="75"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5" xfId="90" applyFont="1" applyFill="1" applyBorder="1" applyAlignment="1">
      <alignment horizontal="center"/>
    </xf>
    <xf numFmtId="0" fontId="25" fillId="47" borderId="91" xfId="90" applyFont="1" applyFill="1" applyBorder="1" applyAlignment="1">
      <alignment horizontal="center"/>
    </xf>
    <xf numFmtId="0" fontId="0" fillId="0" borderId="0" xfId="0" applyFill="1" applyBorder="1" applyAlignment="1">
      <alignment horizontal="left" indent="1"/>
    </xf>
    <xf numFmtId="10" fontId="0" fillId="3" borderId="64" xfId="0" applyNumberFormat="1" applyFill="1" applyBorder="1"/>
    <xf numFmtId="10" fontId="0" fillId="3" borderId="65" xfId="0" applyNumberFormat="1" applyFill="1" applyBorder="1"/>
    <xf numFmtId="10" fontId="0" fillId="3" borderId="67" xfId="0" applyNumberFormat="1" applyFill="1" applyBorder="1"/>
    <xf numFmtId="10" fontId="0" fillId="3" borderId="68" xfId="0" applyNumberFormat="1" applyFill="1" applyBorder="1"/>
    <xf numFmtId="10" fontId="0" fillId="3" borderId="66" xfId="0" applyNumberFormat="1" applyFill="1" applyBorder="1"/>
    <xf numFmtId="10" fontId="5" fillId="52" borderId="73" xfId="2" applyNumberFormat="1" applyFont="1" applyFill="1" applyBorder="1"/>
    <xf numFmtId="10" fontId="5" fillId="52" borderId="74" xfId="2" applyNumberFormat="1" applyFont="1" applyFill="1" applyBorder="1"/>
    <xf numFmtId="10" fontId="5" fillId="52" borderId="75" xfId="2" applyNumberFormat="1" applyFont="1" applyFill="1" applyBorder="1"/>
    <xf numFmtId="10" fontId="0" fillId="51" borderId="61" xfId="0" applyNumberFormat="1" applyFill="1" applyBorder="1" applyAlignment="1">
      <alignment horizontal="right" vertical="top"/>
    </xf>
    <xf numFmtId="10" fontId="0" fillId="51" borderId="62" xfId="0" applyNumberFormat="1" applyFill="1" applyBorder="1" applyAlignment="1">
      <alignment horizontal="right" vertical="top"/>
    </xf>
    <xf numFmtId="10" fontId="0" fillId="51" borderId="63" xfId="0" applyNumberFormat="1" applyFill="1" applyBorder="1" applyAlignment="1">
      <alignment horizontal="right" vertical="top"/>
    </xf>
    <xf numFmtId="170" fontId="0" fillId="51" borderId="64" xfId="0" applyNumberFormat="1" applyFill="1" applyBorder="1" applyAlignment="1">
      <alignment horizontal="right" vertical="top"/>
    </xf>
    <xf numFmtId="170" fontId="0" fillId="51" borderId="65" xfId="0" applyNumberFormat="1" applyFill="1" applyBorder="1" applyAlignment="1">
      <alignment horizontal="right" vertical="top"/>
    </xf>
    <xf numFmtId="17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0" fontId="0" fillId="0" borderId="70" xfId="0" applyBorder="1" applyAlignment="1">
      <alignment horizontal="left" indent="1"/>
    </xf>
    <xf numFmtId="10" fontId="0" fillId="0" borderId="71" xfId="0" applyNumberFormat="1" applyBorder="1"/>
    <xf numFmtId="10" fontId="0" fillId="0" borderId="72" xfId="0" applyNumberFormat="1" applyBorder="1"/>
    <xf numFmtId="0" fontId="0" fillId="0" borderId="30" xfId="0" applyBorder="1"/>
    <xf numFmtId="0" fontId="0" fillId="0" borderId="9" xfId="0" applyBorder="1"/>
    <xf numFmtId="1" fontId="0" fillId="0" borderId="8" xfId="0" applyNumberFormat="1" applyBorder="1" applyAlignment="1">
      <alignment horizontal="left" indent="1"/>
    </xf>
    <xf numFmtId="0" fontId="0" fillId="53" borderId="0" xfId="0" applyFill="1" applyBorder="1"/>
    <xf numFmtId="0" fontId="0" fillId="0" borderId="81" xfId="0" applyBorder="1"/>
    <xf numFmtId="1" fontId="3" fillId="53" borderId="73" xfId="0" applyNumberFormat="1" applyFont="1" applyFill="1" applyBorder="1" applyAlignment="1">
      <alignment horizontal="center" vertical="center"/>
    </xf>
    <xf numFmtId="1" fontId="3" fillId="53" borderId="74" xfId="0" applyNumberFormat="1" applyFont="1" applyFill="1" applyBorder="1" applyAlignment="1">
      <alignment horizontal="center" vertical="center"/>
    </xf>
    <xf numFmtId="1" fontId="3" fillId="53" borderId="75"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0" fontId="0" fillId="0" borderId="65" xfId="0" applyNumberFormat="1" applyFill="1" applyBorder="1"/>
    <xf numFmtId="10" fontId="0" fillId="0" borderId="68" xfId="0" applyNumberFormat="1" applyFill="1" applyBorder="1"/>
    <xf numFmtId="10" fontId="0" fillId="0" borderId="64" xfId="0" applyNumberFormat="1" applyFill="1" applyBorder="1"/>
    <xf numFmtId="10" fontId="0" fillId="0" borderId="67" xfId="0" applyNumberFormat="1" applyFill="1" applyBorder="1"/>
    <xf numFmtId="10" fontId="0" fillId="0" borderId="66" xfId="0" applyNumberFormat="1" applyFill="1" applyBorder="1"/>
    <xf numFmtId="10" fontId="0" fillId="3" borderId="79" xfId="0" applyNumberFormat="1" applyFill="1" applyBorder="1"/>
    <xf numFmtId="10" fontId="0" fillId="3" borderId="87" xfId="0" applyNumberFormat="1" applyFill="1" applyBorder="1"/>
    <xf numFmtId="10" fontId="0" fillId="3" borderId="62" xfId="0" applyNumberFormat="1" applyFill="1" applyBorder="1"/>
    <xf numFmtId="10" fontId="0" fillId="3" borderId="63" xfId="0" applyNumberFormat="1" applyFill="1" applyBorder="1"/>
    <xf numFmtId="0" fontId="0" fillId="0" borderId="80" xfId="0" applyBorder="1" applyAlignment="1">
      <alignment horizontal="left" indent="1"/>
    </xf>
    <xf numFmtId="0" fontId="0" fillId="0" borderId="81" xfId="0" applyBorder="1" applyAlignment="1">
      <alignment horizontal="left" indent="1"/>
    </xf>
    <xf numFmtId="0" fontId="0" fillId="0" borderId="82"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06" xfId="89" applyNumberFormat="1" applyFont="1" applyFill="1" applyBorder="1" applyAlignment="1">
      <alignment horizontal="left" indent="1"/>
    </xf>
    <xf numFmtId="3" fontId="5" fillId="0" borderId="104" xfId="89" applyNumberFormat="1" applyFont="1" applyFill="1" applyBorder="1" applyAlignment="1">
      <alignment horizontal="left" indent="1"/>
    </xf>
    <xf numFmtId="173" fontId="0" fillId="0" borderId="62" xfId="0" applyNumberFormat="1" applyFill="1" applyBorder="1" applyAlignment="1">
      <alignment horizontal="right" indent="1"/>
    </xf>
    <xf numFmtId="173" fontId="0" fillId="0" borderId="63" xfId="0" applyNumberFormat="1" applyFill="1" applyBorder="1" applyAlignment="1">
      <alignment horizontal="righ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4"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68"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1" fontId="0" fillId="0" borderId="0" xfId="0" applyNumberFormat="1" applyFill="1" applyAlignment="1">
      <alignment horizontal="center" vertical="top"/>
    </xf>
    <xf numFmtId="252" fontId="6" fillId="0" borderId="0" xfId="2" applyNumberFormat="1" applyFont="1" applyFill="1" applyBorder="1"/>
    <xf numFmtId="165" fontId="5" fillId="3" borderId="61" xfId="2" applyNumberFormat="1" applyFont="1" applyFill="1" applyBorder="1" applyAlignment="1">
      <alignment vertical="center"/>
    </xf>
    <xf numFmtId="178" fontId="5" fillId="0" borderId="65" xfId="7" applyNumberFormat="1" applyFont="1" applyBorder="1" applyAlignment="1">
      <alignment horizontal="center"/>
    </xf>
    <xf numFmtId="178" fontId="0" fillId="0" borderId="65" xfId="0" applyNumberFormat="1" applyBorder="1" applyAlignment="1">
      <alignment horizontal="center"/>
    </xf>
    <xf numFmtId="178" fontId="0" fillId="0" borderId="66" xfId="0" applyNumberFormat="1" applyBorder="1" applyAlignment="1">
      <alignment horizontal="center"/>
    </xf>
    <xf numFmtId="178" fontId="5" fillId="0" borderId="65" xfId="7" applyNumberFormat="1" applyFont="1" applyFill="1" applyBorder="1" applyAlignment="1">
      <alignment horizontal="center" vertical="center"/>
    </xf>
    <xf numFmtId="178" fontId="5" fillId="0" borderId="68" xfId="7" applyNumberFormat="1" applyFont="1" applyFill="1" applyBorder="1" applyAlignment="1">
      <alignment horizontal="center" vertical="center"/>
    </xf>
    <xf numFmtId="0" fontId="5" fillId="0" borderId="61" xfId="7" applyFont="1" applyFill="1" applyBorder="1" applyAlignment="1">
      <alignment horizontal="left" vertical="center" wrapText="1" indent="1"/>
    </xf>
    <xf numFmtId="0" fontId="5" fillId="0" borderId="67" xfId="7" applyFont="1" applyFill="1" applyBorder="1" applyAlignment="1">
      <alignment horizontal="left" vertical="center" wrapText="1" indent="1"/>
    </xf>
    <xf numFmtId="173" fontId="5" fillId="3" borderId="62" xfId="7" applyNumberFormat="1" applyFont="1" applyFill="1" applyBorder="1" applyAlignment="1">
      <alignment horizontal="center"/>
    </xf>
    <xf numFmtId="173" fontId="5" fillId="3" borderId="65" xfId="7" applyNumberFormat="1" applyFont="1" applyFill="1" applyBorder="1" applyAlignment="1">
      <alignment horizontal="center"/>
    </xf>
    <xf numFmtId="173" fontId="5" fillId="52" borderId="65" xfId="7" applyNumberFormat="1" applyFont="1" applyFill="1" applyBorder="1" applyAlignment="1">
      <alignment horizontal="center"/>
    </xf>
    <xf numFmtId="2" fontId="5" fillId="0" borderId="64" xfId="7" applyNumberFormat="1" applyFont="1" applyFill="1" applyBorder="1" applyAlignment="1">
      <alignment horizontal="center"/>
    </xf>
    <xf numFmtId="1" fontId="5" fillId="0" borderId="65"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178" fontId="0" fillId="51" borderId="73" xfId="1" applyNumberFormat="1" applyFont="1" applyFill="1" applyBorder="1" applyAlignment="1">
      <alignment horizontal="right"/>
    </xf>
    <xf numFmtId="0" fontId="0" fillId="0" borderId="0" xfId="0" applyFont="1" applyAlignment="1">
      <alignment horizontal="left" vertical="top" indent="1"/>
    </xf>
    <xf numFmtId="170" fontId="5" fillId="38" borderId="61" xfId="77" applyNumberFormat="1" applyFont="1" applyFill="1" applyBorder="1" applyProtection="1"/>
    <xf numFmtId="170" fontId="5" fillId="38" borderId="63" xfId="77" applyNumberFormat="1" applyFont="1" applyFill="1" applyBorder="1" applyProtection="1"/>
    <xf numFmtId="170" fontId="5" fillId="38" borderId="62"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347" fontId="5" fillId="54" borderId="73" xfId="2" applyNumberFormat="1" applyFont="1" applyFill="1" applyBorder="1" applyAlignment="1">
      <alignment horizontal="center"/>
    </xf>
    <xf numFmtId="347" fontId="5" fillId="54" borderId="74" xfId="2" applyNumberFormat="1" applyFont="1" applyFill="1" applyBorder="1" applyAlignment="1">
      <alignment horizontal="center"/>
    </xf>
    <xf numFmtId="347" fontId="5" fillId="54" borderId="75" xfId="2" applyNumberFormat="1" applyFont="1" applyFill="1" applyBorder="1" applyAlignment="1">
      <alignment horizontal="center"/>
    </xf>
    <xf numFmtId="164" fontId="0" fillId="0" borderId="0" xfId="1" applyFont="1"/>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165" fontId="6" fillId="42" borderId="0" xfId="2" applyNumberFormat="1" applyFont="1" applyFill="1" applyBorder="1" applyAlignment="1">
      <alignment vertical="center"/>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8" xfId="7" applyFont="1" applyBorder="1" applyAlignment="1">
      <alignment horizontal="center" vertical="center"/>
    </xf>
    <xf numFmtId="0" fontId="245" fillId="0" borderId="74" xfId="7" applyFont="1" applyFill="1" applyBorder="1" applyAlignment="1">
      <alignment horizontal="center" vertical="center" wrapText="1"/>
    </xf>
    <xf numFmtId="0" fontId="245" fillId="0" borderId="75" xfId="7" applyFont="1" applyFill="1" applyBorder="1" applyAlignment="1">
      <alignment horizontal="center" vertical="center" wrapText="1"/>
    </xf>
    <xf numFmtId="0" fontId="0" fillId="118" borderId="12" xfId="0" applyFill="1" applyBorder="1"/>
    <xf numFmtId="0" fontId="0" fillId="118" borderId="0" xfId="0" applyFill="1" applyBorder="1"/>
    <xf numFmtId="0" fontId="0" fillId="118" borderId="13" xfId="0" applyFill="1" applyBorder="1"/>
    <xf numFmtId="0" fontId="0" fillId="118" borderId="91" xfId="0" applyFill="1" applyBorder="1"/>
    <xf numFmtId="0" fontId="0" fillId="118" borderId="95" xfId="0" applyFill="1" applyBorder="1"/>
    <xf numFmtId="173" fontId="0" fillId="118" borderId="61" xfId="0" applyNumberFormat="1" applyFill="1" applyBorder="1" applyAlignment="1">
      <alignment horizontal="right" indent="1"/>
    </xf>
    <xf numFmtId="173" fontId="0" fillId="118" borderId="62" xfId="0" applyNumberFormat="1" applyFill="1" applyBorder="1" applyAlignment="1">
      <alignment horizontal="right" indent="1"/>
    </xf>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6"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0" fontId="0" fillId="118" borderId="110" xfId="0" applyFill="1" applyBorder="1"/>
    <xf numFmtId="0" fontId="0" fillId="118" borderId="23" xfId="0" applyFill="1" applyBorder="1"/>
    <xf numFmtId="0" fontId="0" fillId="118" borderId="107" xfId="0" applyFill="1" applyBorder="1"/>
    <xf numFmtId="0" fontId="0" fillId="118" borderId="101" xfId="0" applyFill="1" applyBorder="1"/>
    <xf numFmtId="173" fontId="5" fillId="118" borderId="73" xfId="7" applyNumberFormat="1" applyFont="1" applyFill="1" applyBorder="1" applyAlignment="1">
      <alignment horizontal="center"/>
    </xf>
    <xf numFmtId="173" fontId="5" fillId="118" borderId="74" xfId="7" applyNumberFormat="1" applyFont="1" applyFill="1" applyBorder="1" applyAlignment="1">
      <alignment horizontal="center"/>
    </xf>
    <xf numFmtId="0" fontId="0" fillId="54" borderId="113" xfId="0" applyFill="1" applyBorder="1" applyAlignment="1">
      <alignment horizontal="right" vertical="top"/>
    </xf>
    <xf numFmtId="0" fontId="5" fillId="3" borderId="80" xfId="2" applyNumberFormat="1" applyFont="1" applyFill="1" applyBorder="1" applyAlignment="1">
      <alignment horizontal="left" vertical="top"/>
    </xf>
    <xf numFmtId="0" fontId="5" fillId="3" borderId="81" xfId="2" applyNumberFormat="1" applyFont="1" applyFill="1" applyBorder="1" applyAlignment="1">
      <alignment horizontal="left" vertical="top"/>
    </xf>
    <xf numFmtId="0" fontId="5" fillId="3" borderId="82" xfId="2" applyNumberFormat="1" applyFont="1" applyFill="1" applyBorder="1" applyAlignment="1">
      <alignment horizontal="left" vertical="top"/>
    </xf>
    <xf numFmtId="172" fontId="5" fillId="38" borderId="80" xfId="1" applyNumberFormat="1" applyFont="1" applyFill="1" applyBorder="1" applyProtection="1"/>
    <xf numFmtId="172" fontId="5" fillId="38" borderId="82" xfId="1" applyNumberFormat="1" applyFont="1" applyFill="1" applyBorder="1" applyProtection="1"/>
    <xf numFmtId="172" fontId="5" fillId="38" borderId="113" xfId="1" applyNumberFormat="1" applyFont="1" applyFill="1" applyBorder="1" applyProtection="1"/>
    <xf numFmtId="172" fontId="5" fillId="38" borderId="114" xfId="1" applyNumberFormat="1" applyFont="1" applyFill="1" applyBorder="1" applyProtection="1"/>
    <xf numFmtId="172" fontId="5" fillId="38" borderId="94" xfId="1" applyNumberFormat="1" applyFont="1" applyFill="1" applyBorder="1" applyProtection="1"/>
    <xf numFmtId="172" fontId="5" fillId="38" borderId="117" xfId="1" applyNumberFormat="1" applyFont="1" applyFill="1" applyBorder="1" applyProtection="1"/>
    <xf numFmtId="172" fontId="5" fillId="3" borderId="61" xfId="2" applyNumberFormat="1" applyFont="1" applyFill="1" applyBorder="1"/>
    <xf numFmtId="172" fontId="5" fillId="3" borderId="62" xfId="2" applyNumberFormat="1" applyFont="1" applyFill="1" applyBorder="1"/>
    <xf numFmtId="172" fontId="5" fillId="52" borderId="61" xfId="2" applyNumberFormat="1" applyFont="1" applyFill="1" applyBorder="1"/>
    <xf numFmtId="172" fontId="5" fillId="52" borderId="63" xfId="2" applyNumberFormat="1" applyFont="1" applyFill="1" applyBorder="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70" xfId="2" applyNumberFormat="1" applyFont="1" applyFill="1" applyBorder="1"/>
    <xf numFmtId="172" fontId="5" fillId="3" borderId="71" xfId="2" applyNumberFormat="1" applyFont="1" applyFill="1" applyBorder="1"/>
    <xf numFmtId="172" fontId="5" fillId="52" borderId="70" xfId="2" applyNumberFormat="1" applyFont="1" applyFill="1" applyBorder="1"/>
    <xf numFmtId="172" fontId="5" fillId="52" borderId="72" xfId="2" applyNumberFormat="1" applyFont="1" applyFill="1" applyBorder="1"/>
    <xf numFmtId="172" fontId="0" fillId="3" borderId="61" xfId="0" applyNumberFormat="1" applyFill="1" applyBorder="1" applyAlignment="1">
      <alignment horizontal="right" vertical="top"/>
    </xf>
    <xf numFmtId="172" fontId="0" fillId="3" borderId="62" xfId="0" applyNumberFormat="1" applyFill="1" applyBorder="1" applyAlignment="1">
      <alignment horizontal="right" vertical="top"/>
    </xf>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3" fillId="52" borderId="73" xfId="0" applyNumberFormat="1" applyFont="1" applyFill="1" applyBorder="1" applyAlignment="1">
      <alignment horizontal="right"/>
    </xf>
    <xf numFmtId="172" fontId="3" fillId="52" borderId="74" xfId="0" applyNumberFormat="1" applyFont="1" applyFill="1" applyBorder="1" applyAlignment="1">
      <alignment horizontal="right"/>
    </xf>
    <xf numFmtId="172" fontId="3" fillId="52" borderId="75" xfId="0" applyNumberFormat="1" applyFont="1" applyFill="1" applyBorder="1" applyAlignment="1">
      <alignment horizontal="right"/>
    </xf>
    <xf numFmtId="172" fontId="0" fillId="3" borderId="63" xfId="0" applyNumberFormat="1" applyFill="1" applyBorder="1" applyAlignment="1">
      <alignment horizontal="right" vertical="top"/>
    </xf>
    <xf numFmtId="172" fontId="0" fillId="3" borderId="66" xfId="0" applyNumberFormat="1" applyFill="1" applyBorder="1" applyAlignment="1">
      <alignment horizontal="right" vertical="top"/>
    </xf>
    <xf numFmtId="172" fontId="3" fillId="52" borderId="73" xfId="0" applyNumberFormat="1" applyFont="1" applyFill="1" applyBorder="1" applyAlignment="1">
      <alignment horizontal="right" vertical="top"/>
    </xf>
    <xf numFmtId="172" fontId="3" fillId="52" borderId="74" xfId="0" applyNumberFormat="1" applyFont="1" applyFill="1" applyBorder="1" applyAlignment="1">
      <alignment horizontal="right" vertical="top"/>
    </xf>
    <xf numFmtId="172" fontId="3" fillId="52" borderId="75" xfId="0" applyNumberFormat="1" applyFont="1" applyFill="1" applyBorder="1" applyAlignment="1">
      <alignment horizontal="right" vertical="top"/>
    </xf>
    <xf numFmtId="172" fontId="0" fillId="3" borderId="69" xfId="0" applyNumberFormat="1" applyFill="1" applyBorder="1" applyAlignment="1">
      <alignment horizontal="right" vertical="top"/>
    </xf>
    <xf numFmtId="172" fontId="3" fillId="52" borderId="61" xfId="0" applyNumberFormat="1" applyFont="1" applyFill="1" applyBorder="1" applyAlignment="1">
      <alignment horizontal="right" vertical="top"/>
    </xf>
    <xf numFmtId="172" fontId="3" fillId="52" borderId="62" xfId="0" applyNumberFormat="1" applyFont="1" applyFill="1" applyBorder="1" applyAlignment="1">
      <alignment horizontal="right" vertical="top"/>
    </xf>
    <xf numFmtId="172" fontId="3" fillId="52" borderId="63" xfId="0" applyNumberFormat="1" applyFon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0" fillId="54" borderId="73" xfId="0" applyNumberFormat="1" applyFill="1" applyBorder="1" applyAlignment="1">
      <alignment horizontal="right" vertical="top"/>
    </xf>
    <xf numFmtId="172" fontId="0" fillId="54" borderId="74" xfId="0" applyNumberFormat="1" applyFill="1" applyBorder="1" applyAlignment="1">
      <alignment horizontal="right" vertical="top"/>
    </xf>
    <xf numFmtId="172" fontId="0" fillId="54" borderId="75" xfId="0" applyNumberFormat="1" applyFill="1" applyBorder="1" applyAlignment="1">
      <alignment horizontal="right" vertical="top"/>
    </xf>
    <xf numFmtId="172" fontId="0" fillId="51" borderId="73" xfId="0" quotePrefix="1" applyNumberFormat="1" applyFill="1" applyBorder="1" applyAlignment="1">
      <alignment horizontal="right" vertical="top"/>
    </xf>
    <xf numFmtId="172" fontId="0" fillId="51" borderId="74" xfId="0" quotePrefix="1" applyNumberFormat="1" applyFill="1" applyBorder="1" applyAlignment="1">
      <alignment horizontal="right" vertical="top"/>
    </xf>
    <xf numFmtId="172" fontId="5" fillId="3" borderId="61" xfId="2" applyNumberFormat="1" applyFont="1" applyFill="1" applyBorder="1" applyAlignment="1">
      <alignment vertical="center"/>
    </xf>
    <xf numFmtId="172" fontId="5" fillId="3" borderId="62" xfId="2" applyNumberFormat="1" applyFont="1" applyFill="1" applyBorder="1" applyAlignment="1">
      <alignment vertical="center"/>
    </xf>
    <xf numFmtId="172" fontId="5" fillId="52" borderId="108" xfId="2" applyNumberFormat="1" applyFont="1" applyFill="1" applyBorder="1" applyAlignment="1">
      <alignment vertical="center"/>
    </xf>
    <xf numFmtId="172" fontId="5" fillId="52" borderId="80" xfId="2" applyNumberFormat="1" applyFont="1" applyFill="1" applyBorder="1" applyAlignment="1">
      <alignment vertical="center"/>
    </xf>
    <xf numFmtId="172" fontId="5" fillId="3" borderId="70" xfId="2" applyNumberFormat="1" applyFont="1" applyFill="1" applyBorder="1" applyAlignment="1">
      <alignment vertical="center"/>
    </xf>
    <xf numFmtId="172" fontId="5" fillId="3" borderId="71" xfId="2" applyNumberFormat="1" applyFont="1" applyFill="1" applyBorder="1" applyAlignment="1">
      <alignment vertical="center"/>
    </xf>
    <xf numFmtId="172" fontId="5" fillId="52" borderId="109" xfId="2" applyNumberFormat="1" applyFont="1" applyFill="1" applyBorder="1" applyAlignment="1">
      <alignment vertical="center"/>
    </xf>
    <xf numFmtId="172" fontId="5" fillId="52" borderId="118" xfId="2" applyNumberFormat="1" applyFont="1" applyFill="1" applyBorder="1" applyAlignment="1">
      <alignment vertical="center"/>
    </xf>
    <xf numFmtId="172" fontId="5" fillId="52" borderId="108" xfId="2" applyNumberFormat="1" applyFont="1" applyFill="1" applyBorder="1"/>
    <xf numFmtId="172" fontId="5" fillId="52" borderId="80" xfId="2" applyNumberFormat="1" applyFont="1" applyFill="1" applyBorder="1"/>
    <xf numFmtId="172" fontId="5" fillId="52" borderId="106" xfId="2" applyNumberFormat="1" applyFont="1" applyFill="1" applyBorder="1"/>
    <xf numFmtId="172" fontId="5" fillId="52" borderId="81" xfId="2" applyNumberFormat="1" applyFont="1" applyFill="1" applyBorder="1"/>
    <xf numFmtId="172" fontId="5" fillId="52" borderId="109" xfId="2" applyNumberFormat="1" applyFont="1" applyFill="1" applyBorder="1"/>
    <xf numFmtId="172" fontId="5" fillId="52" borderId="82" xfId="2" applyNumberFormat="1" applyFont="1" applyFill="1" applyBorder="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6" fillId="52" borderId="73" xfId="2" applyNumberFormat="1" applyFont="1" applyFill="1" applyBorder="1" applyAlignment="1">
      <alignment vertical="center"/>
    </xf>
    <xf numFmtId="172" fontId="6" fillId="52" borderId="75" xfId="2" applyNumberFormat="1" applyFont="1" applyFill="1" applyBorder="1" applyAlignment="1">
      <alignment vertical="center"/>
    </xf>
    <xf numFmtId="172" fontId="5" fillId="52" borderId="61" xfId="2" applyNumberFormat="1" applyFont="1" applyFill="1" applyBorder="1" applyAlignment="1">
      <alignment vertical="center"/>
    </xf>
    <xf numFmtId="172" fontId="5" fillId="52" borderId="63" xfId="2" applyNumberFormat="1" applyFont="1" applyFill="1" applyBorder="1" applyAlignment="1">
      <alignment vertical="center"/>
    </xf>
    <xf numFmtId="172" fontId="5" fillId="52" borderId="70" xfId="2" applyNumberFormat="1" applyFont="1" applyFill="1" applyBorder="1" applyAlignment="1">
      <alignment vertical="center"/>
    </xf>
    <xf numFmtId="172" fontId="5" fillId="52" borderId="72"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3" borderId="66" xfId="2" applyNumberFormat="1" applyFont="1" applyFill="1" applyBorder="1"/>
    <xf numFmtId="172" fontId="5" fillId="52" borderId="73" xfId="2" applyNumberFormat="1" applyFont="1" applyFill="1" applyBorder="1" applyAlignment="1">
      <alignment horizontal="right" vertical="center"/>
    </xf>
    <xf numFmtId="172" fontId="5" fillId="52" borderId="75" xfId="2" applyNumberFormat="1" applyFont="1" applyFill="1" applyBorder="1" applyAlignment="1">
      <alignment horizontal="right" vertical="center"/>
    </xf>
    <xf numFmtId="172" fontId="0" fillId="51" borderId="67" xfId="1" applyNumberFormat="1" applyFont="1" applyFill="1" applyBorder="1" applyAlignment="1">
      <alignment horizontal="right"/>
    </xf>
    <xf numFmtId="172" fontId="0" fillId="51" borderId="68" xfId="1" applyNumberFormat="1" applyFont="1" applyFill="1" applyBorder="1" applyAlignment="1"/>
    <xf numFmtId="172" fontId="6" fillId="52" borderId="73" xfId="2" applyNumberFormat="1" applyFont="1" applyFill="1" applyBorder="1" applyAlignment="1">
      <alignment horizontal="right" vertical="center"/>
    </xf>
    <xf numFmtId="172" fontId="6" fillId="52" borderId="75" xfId="2" applyNumberFormat="1" applyFont="1" applyFill="1" applyBorder="1" applyAlignment="1">
      <alignment horizontal="right" vertical="center"/>
    </xf>
    <xf numFmtId="172" fontId="5" fillId="51" borderId="61" xfId="1" applyNumberFormat="1" applyFont="1" applyFill="1" applyBorder="1"/>
    <xf numFmtId="172" fontId="5" fillId="51" borderId="62" xfId="1" applyNumberFormat="1" applyFont="1" applyFill="1" applyBorder="1"/>
    <xf numFmtId="172" fontId="5" fillId="51" borderId="63" xfId="1" applyNumberFormat="1" applyFont="1" applyFill="1" applyBorder="1"/>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3" fillId="52" borderId="73" xfId="1" applyNumberFormat="1" applyFont="1" applyFill="1" applyBorder="1" applyAlignment="1">
      <alignment horizontal="right"/>
    </xf>
    <xf numFmtId="172" fontId="0" fillId="52" borderId="76" xfId="0" applyNumberFormat="1" applyFill="1" applyBorder="1"/>
    <xf numFmtId="172" fontId="0" fillId="52" borderId="77" xfId="0" applyNumberFormat="1" applyFill="1" applyBorder="1"/>
    <xf numFmtId="172" fontId="0" fillId="52" borderId="78" xfId="0" applyNumberFormat="1" applyFill="1" applyBorder="1"/>
    <xf numFmtId="172" fontId="0" fillId="52" borderId="61" xfId="0" applyNumberFormat="1" applyFill="1" applyBorder="1" applyAlignment="1">
      <alignment horizontal="right" vertical="top"/>
    </xf>
    <xf numFmtId="172" fontId="0" fillId="52" borderId="62" xfId="0" applyNumberFormat="1" applyFill="1" applyBorder="1" applyAlignment="1">
      <alignment horizontal="right" vertical="top"/>
    </xf>
    <xf numFmtId="172" fontId="0" fillId="52" borderId="63" xfId="0" applyNumberFormat="1" applyFill="1" applyBorder="1" applyAlignment="1">
      <alignment horizontal="right" vertical="top"/>
    </xf>
    <xf numFmtId="172" fontId="5" fillId="52" borderId="61" xfId="1" applyNumberFormat="1" applyFont="1" applyFill="1" applyBorder="1" applyProtection="1"/>
    <xf numFmtId="172" fontId="5" fillId="3" borderId="73" xfId="2" applyNumberFormat="1" applyFont="1" applyFill="1" applyBorder="1"/>
    <xf numFmtId="172" fontId="5" fillId="52" borderId="62" xfId="2" applyNumberFormat="1" applyFont="1" applyFill="1" applyBorder="1"/>
    <xf numFmtId="172" fontId="6" fillId="52" borderId="61" xfId="2" applyNumberFormat="1" applyFont="1" applyFill="1" applyBorder="1"/>
    <xf numFmtId="172" fontId="6" fillId="52" borderId="62" xfId="2" applyNumberFormat="1" applyFont="1" applyFill="1" applyBorder="1"/>
    <xf numFmtId="172" fontId="6" fillId="52" borderId="63" xfId="2" applyNumberFormat="1" applyFont="1" applyFill="1" applyBorder="1"/>
    <xf numFmtId="172" fontId="6" fillId="52" borderId="116" xfId="2" applyNumberFormat="1" applyFont="1" applyFill="1" applyBorder="1"/>
    <xf numFmtId="172" fontId="6" fillId="52" borderId="96" xfId="2" applyNumberFormat="1" applyFont="1" applyFill="1" applyBorder="1"/>
    <xf numFmtId="172" fontId="6" fillId="52" borderId="97" xfId="2" applyNumberFormat="1" applyFont="1" applyFill="1" applyBorder="1"/>
    <xf numFmtId="172" fontId="6" fillId="52" borderId="73" xfId="2" applyNumberFormat="1" applyFont="1" applyFill="1" applyBorder="1"/>
    <xf numFmtId="172" fontId="6" fillId="52" borderId="74" xfId="2" applyNumberFormat="1" applyFont="1" applyFill="1" applyBorder="1"/>
    <xf numFmtId="172" fontId="6" fillId="52" borderId="75" xfId="2" applyNumberFormat="1" applyFont="1" applyFill="1" applyBorder="1"/>
    <xf numFmtId="172" fontId="5" fillId="38" borderId="116" xfId="1" applyNumberFormat="1" applyFont="1" applyFill="1" applyBorder="1" applyProtection="1"/>
    <xf numFmtId="172" fontId="5" fillId="38" borderId="96" xfId="1" applyNumberFormat="1" applyFont="1" applyFill="1" applyBorder="1" applyProtection="1"/>
    <xf numFmtId="172" fontId="5" fillId="38" borderId="97" xfId="1" applyNumberFormat="1" applyFont="1" applyFill="1" applyBorder="1" applyProtection="1"/>
    <xf numFmtId="172" fontId="3" fillId="0" borderId="0" xfId="0" applyNumberFormat="1" applyFont="1"/>
    <xf numFmtId="172" fontId="0" fillId="52" borderId="73"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0" fillId="52" borderId="73" xfId="0" applyNumberFormat="1" applyFill="1" applyBorder="1" applyAlignment="1">
      <alignment horizontal="right" vertical="center"/>
    </xf>
    <xf numFmtId="172" fontId="0" fillId="52" borderId="74" xfId="0" applyNumberFormat="1" applyFill="1" applyBorder="1" applyAlignment="1">
      <alignment horizontal="right" vertical="center"/>
    </xf>
    <xf numFmtId="172" fontId="0" fillId="52" borderId="75" xfId="0" applyNumberFormat="1" applyFill="1" applyBorder="1" applyAlignment="1">
      <alignment horizontal="right" vertical="center"/>
    </xf>
    <xf numFmtId="172" fontId="0" fillId="0" borderId="0" xfId="0" applyNumberFormat="1"/>
    <xf numFmtId="172" fontId="5" fillId="38" borderId="73" xfId="1" applyNumberFormat="1" applyFont="1" applyFill="1" applyBorder="1" applyAlignment="1" applyProtection="1">
      <alignment horizontal="right"/>
    </xf>
    <xf numFmtId="172" fontId="5" fillId="38" borderId="74" xfId="1" applyNumberFormat="1" applyFont="1" applyFill="1" applyBorder="1" applyAlignment="1" applyProtection="1">
      <alignment horizontal="right"/>
    </xf>
    <xf numFmtId="172" fontId="5" fillId="38" borderId="75" xfId="1" applyNumberFormat="1" applyFont="1" applyFill="1" applyBorder="1" applyAlignment="1" applyProtection="1">
      <alignment horizontal="right"/>
    </xf>
    <xf numFmtId="172" fontId="0" fillId="0" borderId="0" xfId="0" applyNumberFormat="1" applyAlignment="1">
      <alignment horizontal="right"/>
    </xf>
    <xf numFmtId="173" fontId="5" fillId="118" borderId="67" xfId="7" applyNumberFormat="1" applyFont="1" applyFill="1" applyBorder="1" applyAlignment="1">
      <alignment horizontal="center"/>
    </xf>
    <xf numFmtId="170" fontId="5" fillId="36" borderId="74" xfId="77" applyNumberFormat="1" applyFont="1" applyFill="1" applyBorder="1" applyAlignment="1" applyProtection="1">
      <alignment vertical="center"/>
    </xf>
    <xf numFmtId="170" fontId="5" fillId="36" borderId="75" xfId="77" applyNumberFormat="1" applyFont="1" applyFill="1" applyBorder="1" applyAlignment="1" applyProtection="1">
      <alignment vertical="center"/>
    </xf>
    <xf numFmtId="350" fontId="5" fillId="38" borderId="75" xfId="77" applyNumberFormat="1" applyFont="1" applyFill="1" applyBorder="1" applyProtection="1"/>
    <xf numFmtId="0" fontId="3" fillId="53" borderId="0" xfId="0" applyFont="1" applyFill="1" applyAlignment="1">
      <alignment horizontal="left" vertical="top" indent="1"/>
    </xf>
    <xf numFmtId="0" fontId="0" fillId="0" borderId="0" xfId="0"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28" xfId="0" applyBorder="1" applyAlignment="1">
      <alignment horizontal="center" wrapText="1"/>
    </xf>
    <xf numFmtId="0" fontId="0" fillId="0" borderId="110" xfId="0" applyBorder="1" applyAlignment="1">
      <alignment horizontal="center" wrapText="1"/>
    </xf>
    <xf numFmtId="0" fontId="0" fillId="0" borderId="111" xfId="0" applyBorder="1"/>
    <xf numFmtId="0" fontId="0" fillId="0" borderId="12" xfId="0" applyBorder="1" applyAlignment="1">
      <alignment horizontal="center" wrapText="1"/>
    </xf>
    <xf numFmtId="3" fontId="0" fillId="0" borderId="0" xfId="0" applyNumberFormat="1" applyBorder="1"/>
    <xf numFmtId="0" fontId="0" fillId="0" borderId="94" xfId="0" applyBorder="1" applyAlignment="1">
      <alignment horizontal="center" wrapText="1"/>
    </xf>
    <xf numFmtId="3" fontId="0" fillId="0" borderId="91" xfId="0" applyNumberFormat="1" applyBorder="1"/>
    <xf numFmtId="172" fontId="5" fillId="0" borderId="0" xfId="1" applyNumberFormat="1" applyFont="1" applyFill="1" applyBorder="1" applyProtection="1"/>
    <xf numFmtId="0" fontId="21" fillId="0" borderId="28" xfId="0" applyFont="1" applyFill="1" applyBorder="1" applyAlignment="1">
      <alignment horizontal="left" indent="1"/>
    </xf>
    <xf numFmtId="0" fontId="21" fillId="0" borderId="28" xfId="0" applyFont="1" applyBorder="1" applyAlignment="1">
      <alignment horizontal="left" indent="1"/>
    </xf>
    <xf numFmtId="0" fontId="21" fillId="3" borderId="80" xfId="0" applyFont="1" applyFill="1" applyBorder="1" applyAlignment="1">
      <alignment horizontal="left" indent="1"/>
    </xf>
    <xf numFmtId="0" fontId="0" fillId="3" borderId="81" xfId="0" applyFill="1" applyBorder="1" applyAlignment="1">
      <alignment horizontal="left" indent="1"/>
    </xf>
    <xf numFmtId="0" fontId="0" fillId="3" borderId="82" xfId="0" applyFill="1" applyBorder="1" applyAlignment="1">
      <alignment horizontal="left" indent="1"/>
    </xf>
    <xf numFmtId="0" fontId="0" fillId="3" borderId="80" xfId="0" applyFill="1" applyBorder="1" applyAlignment="1">
      <alignment horizontal="left" indent="1"/>
    </xf>
    <xf numFmtId="0" fontId="0" fillId="3" borderId="118" xfId="0" applyFill="1" applyBorder="1" applyAlignment="1">
      <alignment horizontal="left" indent="1"/>
    </xf>
    <xf numFmtId="3" fontId="0" fillId="0" borderId="0" xfId="0" applyNumberFormat="1" applyFill="1" applyBorder="1"/>
    <xf numFmtId="0" fontId="0" fillId="52" borderId="80" xfId="0" applyFill="1" applyBorder="1" applyAlignment="1">
      <alignment horizontal="left" vertical="center" wrapText="1" indent="1"/>
    </xf>
    <xf numFmtId="0" fontId="0" fillId="52" borderId="81" xfId="0" applyFill="1" applyBorder="1" applyAlignment="1">
      <alignment horizontal="left" vertical="center" wrapText="1" indent="1"/>
    </xf>
    <xf numFmtId="0" fontId="0" fillId="52" borderId="82" xfId="0" applyFill="1" applyBorder="1" applyAlignment="1">
      <alignment horizontal="left" vertical="center" wrapText="1" indent="1"/>
    </xf>
    <xf numFmtId="172" fontId="5" fillId="0" borderId="0" xfId="2" applyNumberFormat="1" applyFont="1" applyFill="1" applyBorder="1"/>
    <xf numFmtId="0" fontId="3" fillId="53"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5" xfId="1" applyNumberFormat="1" applyFont="1" applyFill="1" applyBorder="1" applyProtection="1"/>
    <xf numFmtId="15" fontId="239" fillId="46" borderId="117" xfId="48236" applyNumberFormat="1" applyFont="1" applyFill="1" applyBorder="1" applyAlignment="1">
      <alignment horizontal="center" vertical="top" wrapText="1"/>
    </xf>
    <xf numFmtId="0" fontId="239" fillId="46" borderId="117" xfId="48236" applyFont="1" applyFill="1" applyBorder="1" applyAlignment="1">
      <alignment vertical="top" wrapText="1"/>
    </xf>
    <xf numFmtId="0" fontId="239" fillId="46" borderId="117"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0" fontId="0" fillId="42" borderId="65" xfId="0" applyFill="1" applyBorder="1" applyAlignment="1">
      <alignment horizontal="left" vertical="top" wrapText="1" indent="1"/>
    </xf>
    <xf numFmtId="0" fontId="0" fillId="42" borderId="68" xfId="0" applyFill="1" applyBorder="1" applyAlignment="1">
      <alignment horizontal="left" vertical="top" wrapText="1" indent="1"/>
    </xf>
    <xf numFmtId="0" fontId="0" fillId="0" borderId="87" xfId="0" applyBorder="1" applyAlignment="1">
      <alignment horizontal="left" vertical="top" wrapText="1" indent="1"/>
    </xf>
    <xf numFmtId="0" fontId="0" fillId="42" borderId="65" xfId="0" applyFill="1" applyBorder="1" applyAlignment="1">
      <alignment horizontal="left" vertical="center" wrapText="1"/>
    </xf>
    <xf numFmtId="0" fontId="0" fillId="0" borderId="87" xfId="0" applyBorder="1" applyAlignment="1">
      <alignment vertical="center" wrapText="1"/>
    </xf>
    <xf numFmtId="172" fontId="0" fillId="51" borderId="62"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0" fontId="0" fillId="42" borderId="65" xfId="0" quotePrefix="1" applyFill="1" applyBorder="1" applyAlignment="1">
      <alignment horizontal="left" vertical="top" wrapText="1"/>
    </xf>
    <xf numFmtId="0" fontId="0" fillId="42" borderId="65" xfId="0" quotePrefix="1" applyFill="1" applyBorder="1" applyAlignment="1">
      <alignment horizontal="left" vertical="top" wrapText="1" indent="1"/>
    </xf>
    <xf numFmtId="172" fontId="0" fillId="51" borderId="73" xfId="0" applyNumberFormat="1" applyFill="1" applyBorder="1"/>
    <xf numFmtId="170" fontId="0" fillId="51" borderId="70" xfId="0" applyNumberFormat="1" applyFill="1" applyBorder="1"/>
    <xf numFmtId="170" fontId="0" fillId="51" borderId="71" xfId="0" applyNumberFormat="1" applyFill="1" applyBorder="1"/>
    <xf numFmtId="170" fontId="0" fillId="51" borderId="72" xfId="0" applyNumberFormat="1" applyFill="1" applyBorder="1"/>
    <xf numFmtId="0" fontId="0" fillId="42" borderId="77" xfId="0" applyFill="1" applyBorder="1" applyAlignment="1">
      <alignment horizontal="left" vertical="top" wrapText="1" indent="1"/>
    </xf>
    <xf numFmtId="0" fontId="0" fillId="42" borderId="77" xfId="0" applyFill="1" applyBorder="1" applyAlignment="1">
      <alignment horizontal="left" vertical="top" wrapText="1"/>
    </xf>
    <xf numFmtId="172" fontId="5" fillId="51" borderId="73" xfId="1" applyNumberFormat="1" applyFont="1" applyFill="1" applyBorder="1" applyProtection="1"/>
    <xf numFmtId="172" fontId="5" fillId="42" borderId="76" xfId="2" applyNumberFormat="1" applyFont="1" applyFill="1" applyBorder="1" applyAlignment="1">
      <alignment vertical="center"/>
    </xf>
    <xf numFmtId="172" fontId="5" fillId="42" borderId="78" xfId="2" applyNumberFormat="1" applyFont="1" applyFill="1" applyBorder="1" applyAlignment="1">
      <alignment vertical="center"/>
    </xf>
    <xf numFmtId="9" fontId="0" fillId="117" borderId="76" xfId="0" applyNumberFormat="1" applyFill="1" applyBorder="1" applyAlignment="1">
      <alignment horizontal="right" vertical="top"/>
    </xf>
    <xf numFmtId="9" fontId="0" fillId="117" borderId="77" xfId="0" applyNumberFormat="1" applyFill="1" applyBorder="1" applyAlignment="1">
      <alignment horizontal="right" vertical="top"/>
    </xf>
    <xf numFmtId="9" fontId="0" fillId="117" borderId="78" xfId="0" applyNumberFormat="1" applyFill="1" applyBorder="1" applyAlignment="1">
      <alignment horizontal="right" vertical="top"/>
    </xf>
    <xf numFmtId="170" fontId="5" fillId="51" borderId="73" xfId="1" applyNumberFormat="1" applyFont="1" applyFill="1" applyBorder="1" applyProtection="1"/>
    <xf numFmtId="170" fontId="5" fillId="51" borderId="74" xfId="1" applyNumberFormat="1" applyFont="1" applyFill="1" applyBorder="1" applyProtection="1"/>
    <xf numFmtId="170" fontId="5" fillId="51" borderId="75" xfId="1" applyNumberFormat="1" applyFont="1" applyFill="1" applyBorder="1" applyProtection="1"/>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0" xfId="90" applyFont="1" applyFill="1" applyBorder="1" applyAlignment="1">
      <alignment horizontal="left"/>
    </xf>
    <xf numFmtId="0" fontId="256" fillId="47" borderId="55" xfId="0" applyFont="1" applyFill="1" applyBorder="1" applyAlignment="1">
      <alignment wrapText="1"/>
    </xf>
    <xf numFmtId="0" fontId="256" fillId="47" borderId="111" xfId="0" applyFont="1" applyFill="1" applyBorder="1" applyAlignment="1">
      <alignment wrapText="1"/>
    </xf>
    <xf numFmtId="0" fontId="257" fillId="47" borderId="12" xfId="90" applyFont="1" applyFill="1" applyBorder="1" applyAlignment="1">
      <alignment horizontal="left"/>
    </xf>
    <xf numFmtId="0" fontId="256" fillId="47" borderId="0" xfId="0" applyFont="1" applyFill="1" applyBorder="1" applyAlignment="1">
      <alignment wrapText="1"/>
    </xf>
    <xf numFmtId="0" fontId="256" fillId="47" borderId="13" xfId="0" applyFont="1" applyFill="1" applyBorder="1" applyAlignment="1">
      <alignment wrapText="1"/>
    </xf>
    <xf numFmtId="0" fontId="257" fillId="47" borderId="94" xfId="90" applyFont="1" applyFill="1" applyBorder="1" applyAlignment="1">
      <alignment horizontal="left"/>
    </xf>
    <xf numFmtId="0" fontId="256" fillId="47" borderId="91" xfId="0" applyFont="1" applyFill="1" applyBorder="1" applyAlignment="1">
      <alignment wrapText="1"/>
    </xf>
    <xf numFmtId="0" fontId="256" fillId="47" borderId="95" xfId="0" applyFont="1" applyFill="1" applyBorder="1" applyAlignment="1">
      <alignment wrapText="1"/>
    </xf>
    <xf numFmtId="0" fontId="257" fillId="47" borderId="23" xfId="90" applyNumberFormat="1" applyFont="1" applyFill="1" applyBorder="1" applyAlignment="1">
      <alignment horizontal="left" indent="1"/>
    </xf>
    <xf numFmtId="0" fontId="257" fillId="47" borderId="23"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1" xfId="90" applyNumberFormat="1" applyFont="1" applyFill="1" applyBorder="1" applyAlignment="1">
      <alignment horizontal="left" indent="1"/>
    </xf>
    <xf numFmtId="0" fontId="257" fillId="47" borderId="91" xfId="90" applyFont="1" applyFill="1" applyBorder="1" applyAlignment="1">
      <alignment horizontal="left"/>
    </xf>
    <xf numFmtId="0" fontId="256" fillId="47" borderId="23" xfId="0" applyFont="1" applyFill="1" applyBorder="1" applyAlignment="1">
      <alignment horizontal="left" indent="1"/>
    </xf>
    <xf numFmtId="0" fontId="257" fillId="47" borderId="91" xfId="90" applyFont="1" applyFill="1" applyBorder="1" applyAlignment="1">
      <alignment horizontal="left" indent="1"/>
    </xf>
    <xf numFmtId="0" fontId="257" fillId="47" borderId="23" xfId="90" applyFont="1" applyFill="1" applyBorder="1" applyAlignment="1">
      <alignment horizontal="left" indent="1"/>
    </xf>
    <xf numFmtId="0" fontId="260" fillId="47" borderId="12" xfId="90" applyFont="1" applyFill="1" applyBorder="1" applyAlignment="1">
      <alignment horizontal="left"/>
    </xf>
    <xf numFmtId="0" fontId="257" fillId="47" borderId="55" xfId="90" applyFont="1" applyFill="1" applyBorder="1" applyAlignment="1">
      <alignment horizontal="left"/>
    </xf>
    <xf numFmtId="0" fontId="0" fillId="42" borderId="79" xfId="0" applyFill="1" applyBorder="1" applyAlignment="1">
      <alignment horizontal="left" vertical="center" wrapText="1" indent="1"/>
    </xf>
    <xf numFmtId="0" fontId="0" fillId="42" borderId="87" xfId="0" applyFill="1" applyBorder="1" applyAlignment="1">
      <alignment horizontal="left" vertical="top" wrapText="1" indent="1"/>
    </xf>
    <xf numFmtId="0" fontId="0" fillId="42" borderId="87" xfId="0" applyFill="1" applyBorder="1" applyAlignment="1">
      <alignment horizontal="left" vertical="top" wrapText="1"/>
    </xf>
    <xf numFmtId="0" fontId="0" fillId="42" borderId="129" xfId="0" applyFill="1" applyBorder="1" applyAlignment="1">
      <alignment horizontal="left" vertical="center" wrapText="1" indent="1"/>
    </xf>
    <xf numFmtId="0" fontId="0" fillId="42" borderId="130" xfId="0" applyFill="1" applyBorder="1" applyAlignment="1">
      <alignment horizontal="left" vertical="top" wrapText="1" indent="1"/>
    </xf>
    <xf numFmtId="0" fontId="0" fillId="42" borderId="130" xfId="0" applyFill="1" applyBorder="1" applyAlignment="1">
      <alignment horizontal="left" vertical="top" wrapText="1"/>
    </xf>
    <xf numFmtId="173" fontId="0" fillId="42" borderId="64" xfId="0" applyNumberFormat="1" applyFill="1" applyBorder="1" applyAlignment="1">
      <alignment horizontal="left" vertical="center" wrapText="1" indent="1"/>
    </xf>
    <xf numFmtId="0" fontId="0" fillId="0" borderId="0" xfId="0" applyAlignment="1">
      <alignment horizontal="center"/>
    </xf>
    <xf numFmtId="0" fontId="257" fillId="47" borderId="132" xfId="90" applyFont="1" applyFill="1" applyBorder="1" applyAlignment="1">
      <alignment horizontal="left"/>
    </xf>
    <xf numFmtId="0" fontId="26" fillId="47" borderId="23" xfId="75" applyFont="1" applyFill="1" applyBorder="1"/>
    <xf numFmtId="0" fontId="27" fillId="47" borderId="23" xfId="75" applyFont="1" applyFill="1" applyBorder="1"/>
    <xf numFmtId="0" fontId="27" fillId="47" borderId="133" xfId="75" applyFont="1" applyFill="1" applyBorder="1"/>
    <xf numFmtId="0" fontId="257" fillId="47" borderId="0" xfId="90" applyFont="1" applyFill="1" applyAlignment="1">
      <alignment horizontal="left"/>
    </xf>
    <xf numFmtId="0" fontId="25" fillId="47" borderId="0" xfId="90" applyFont="1" applyFill="1" applyAlignment="1">
      <alignment horizontal="left"/>
    </xf>
    <xf numFmtId="0" fontId="27" fillId="47" borderId="0" xfId="75" applyFont="1" applyFill="1"/>
    <xf numFmtId="0" fontId="27" fillId="47" borderId="13" xfId="75" applyFont="1" applyFill="1" applyBorder="1"/>
    <xf numFmtId="0" fontId="259" fillId="47" borderId="91" xfId="90" applyFont="1" applyFill="1" applyBorder="1" applyAlignment="1">
      <alignment horizontal="left" indent="1"/>
    </xf>
    <xf numFmtId="0" fontId="27" fillId="47" borderId="91" xfId="75" applyFont="1" applyFill="1" applyBorder="1"/>
    <xf numFmtId="0" fontId="27" fillId="47" borderId="95" xfId="75" applyFont="1" applyFill="1" applyBorder="1"/>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horizontal="center" vertical="top"/>
    </xf>
    <xf numFmtId="0" fontId="257" fillId="47" borderId="0" xfId="90" applyFont="1" applyFill="1" applyAlignment="1">
      <alignment horizontal="left" indent="1"/>
    </xf>
    <xf numFmtId="168" fontId="5" fillId="3" borderId="0" xfId="0" applyNumberFormat="1" applyFont="1" applyFill="1" applyAlignment="1">
      <alignment vertical="center"/>
    </xf>
    <xf numFmtId="0" fontId="25" fillId="0" borderId="0" xfId="90" applyFont="1" applyAlignment="1">
      <alignment horizontal="left"/>
    </xf>
    <xf numFmtId="0" fontId="27" fillId="0" borderId="91" xfId="75" applyFont="1" applyBorder="1"/>
    <xf numFmtId="0" fontId="27" fillId="0" borderId="0" xfId="75" applyFont="1"/>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68" fontId="5" fillId="0" borderId="0" xfId="0" applyNumberFormat="1" applyFont="1" applyAlignment="1">
      <alignment horizontal="left" vertical="center" indent="1"/>
    </xf>
    <xf numFmtId="0" fontId="6" fillId="0" borderId="0" xfId="85" applyFont="1" applyAlignment="1">
      <alignment horizontal="left" vertical="center" wrapText="1"/>
    </xf>
    <xf numFmtId="0" fontId="5" fillId="0" borderId="0" xfId="85" applyFont="1" applyAlignment="1">
      <alignment horizontal="left" vertical="center" wrapText="1" indent="1"/>
    </xf>
    <xf numFmtId="252" fontId="0" fillId="51" borderId="70" xfId="0" applyNumberFormat="1" applyFill="1" applyBorder="1" applyAlignment="1">
      <alignment horizontal="right"/>
    </xf>
    <xf numFmtId="252" fontId="0" fillId="51" borderId="71" xfId="0" applyNumberFormat="1" applyFill="1" applyBorder="1" applyAlignment="1">
      <alignment horizontal="right"/>
    </xf>
    <xf numFmtId="172" fontId="0" fillId="51" borderId="71" xfId="0" applyNumberFormat="1" applyFill="1" applyBorder="1" applyAlignment="1">
      <alignment horizontal="right"/>
    </xf>
    <xf numFmtId="0" fontId="5" fillId="37" borderId="73" xfId="75" applyFont="1" applyFill="1" applyBorder="1" applyAlignment="1">
      <alignment horizontal="center" vertical="top"/>
    </xf>
    <xf numFmtId="0" fontId="5" fillId="37" borderId="74" xfId="75" applyFont="1" applyFill="1" applyBorder="1" applyAlignment="1">
      <alignment horizontal="center" vertical="top"/>
    </xf>
    <xf numFmtId="0" fontId="5" fillId="37" borderId="75" xfId="75" applyFont="1" applyFill="1" applyBorder="1" applyAlignment="1">
      <alignment horizontal="center" vertical="top"/>
    </xf>
    <xf numFmtId="0" fontId="5" fillId="0" borderId="0" xfId="85" applyFont="1" applyAlignment="1">
      <alignment horizontal="left" vertical="center" wrapText="1"/>
    </xf>
    <xf numFmtId="0" fontId="5" fillId="42" borderId="0" xfId="75" applyFont="1" applyFill="1" applyAlignment="1">
      <alignment horizontal="center" vertical="top"/>
    </xf>
    <xf numFmtId="9" fontId="5" fillId="52" borderId="67" xfId="75" applyNumberFormat="1" applyFont="1" applyFill="1" applyBorder="1" applyAlignment="1">
      <alignment vertical="top"/>
    </xf>
    <xf numFmtId="9" fontId="5" fillId="52" borderId="68" xfId="75" applyNumberFormat="1" applyFont="1" applyFill="1" applyBorder="1" applyAlignment="1">
      <alignment vertical="top"/>
    </xf>
    <xf numFmtId="9" fontId="5" fillId="52" borderId="69" xfId="75" applyNumberFormat="1" applyFont="1" applyFill="1" applyBorder="1" applyAlignment="1">
      <alignment vertical="top"/>
    </xf>
    <xf numFmtId="172" fontId="0" fillId="52" borderId="61" xfId="0" applyNumberFormat="1" applyFill="1" applyBorder="1"/>
    <xf numFmtId="172" fontId="0" fillId="52" borderId="62" xfId="0" applyNumberFormat="1" applyFill="1" applyBorder="1"/>
    <xf numFmtId="172" fontId="0" fillId="52" borderId="63" xfId="0" applyNumberFormat="1" applyFill="1" applyBorder="1"/>
    <xf numFmtId="0" fontId="0" fillId="0" borderId="0" xfId="0" applyAlignment="1">
      <alignment horizontal="center" vertical="center" wrapText="1"/>
    </xf>
    <xf numFmtId="1" fontId="0" fillId="0" borderId="0" xfId="0" applyNumberFormat="1" applyAlignment="1">
      <alignment horizontal="center" vertical="center" wrapText="1"/>
    </xf>
    <xf numFmtId="168" fontId="6" fillId="0" borderId="0" xfId="0" applyNumberFormat="1" applyFont="1" applyAlignment="1">
      <alignment horizontal="left" vertical="center"/>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3" fontId="0" fillId="0" borderId="70" xfId="0" applyNumberFormat="1" applyBorder="1" applyAlignment="1">
      <alignment horizontal="right"/>
    </xf>
    <xf numFmtId="173" fontId="0" fillId="0" borderId="71" xfId="0" applyNumberFormat="1" applyBorder="1" applyAlignment="1">
      <alignment horizontal="right"/>
    </xf>
    <xf numFmtId="172" fontId="0" fillId="0" borderId="71" xfId="0" applyNumberFormat="1" applyBorder="1" applyAlignment="1">
      <alignment horizontal="right"/>
    </xf>
    <xf numFmtId="0" fontId="5" fillId="0" borderId="0" xfId="7" applyFont="1" applyAlignment="1">
      <alignment horizontal="left" vertical="center" wrapText="1" indent="1"/>
    </xf>
    <xf numFmtId="0" fontId="3" fillId="0" borderId="0" xfId="0" applyFont="1" applyAlignment="1">
      <alignment horizontal="center" vertical="center" wrapText="1"/>
    </xf>
    <xf numFmtId="168" fontId="5"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168" fontId="6" fillId="0" borderId="0" xfId="0" applyNumberFormat="1" applyFont="1" applyAlignment="1">
      <alignment horizontal="left" vertical="center" indent="1"/>
    </xf>
    <xf numFmtId="0" fontId="0" fillId="53" borderId="0" xfId="0" applyFill="1" applyAlignment="1">
      <alignment horizontal="center" vertical="center" wrapText="1"/>
    </xf>
    <xf numFmtId="0" fontId="3" fillId="0" borderId="0" xfId="0" applyFont="1" applyAlignment="1">
      <alignment horizontal="left"/>
    </xf>
    <xf numFmtId="0" fontId="243" fillId="0" borderId="0" xfId="0" applyFont="1" applyAlignment="1">
      <alignment horizontal="left" vertical="top"/>
    </xf>
    <xf numFmtId="1" fontId="3" fillId="0" borderId="0" xfId="0" applyNumberFormat="1" applyFont="1" applyAlignment="1">
      <alignment horizontal="center" vertical="center" wrapText="1"/>
    </xf>
    <xf numFmtId="0" fontId="256" fillId="47" borderId="23" xfId="0" applyFont="1" applyFill="1" applyBorder="1"/>
    <xf numFmtId="0" fontId="0" fillId="47" borderId="133" xfId="0" applyFill="1" applyBorder="1"/>
    <xf numFmtId="0" fontId="25" fillId="47" borderId="0" xfId="90" applyFont="1" applyFill="1" applyAlignment="1">
      <alignment horizontal="center" vertical="center"/>
    </xf>
    <xf numFmtId="0" fontId="3" fillId="117" borderId="0" xfId="0" applyFont="1" applyFill="1" applyAlignment="1">
      <alignment horizontal="left" vertical="top" indent="1"/>
    </xf>
    <xf numFmtId="0" fontId="0" fillId="0" borderId="0" xfId="0" applyAlignment="1">
      <alignment horizontal="left" wrapText="1" indent="1"/>
    </xf>
    <xf numFmtId="0" fontId="0" fillId="0" borderId="0" xfId="0" applyAlignment="1">
      <alignment horizontal="center" wrapText="1"/>
    </xf>
    <xf numFmtId="172" fontId="5" fillId="38" borderId="134" xfId="1" applyNumberFormat="1" applyFont="1" applyFill="1" applyBorder="1" applyProtection="1"/>
    <xf numFmtId="0" fontId="0" fillId="42" borderId="0" xfId="0" applyFill="1" applyAlignment="1">
      <alignment horizontal="center" wrapText="1"/>
    </xf>
    <xf numFmtId="10" fontId="0" fillId="42" borderId="0" xfId="0" applyNumberFormat="1" applyFill="1" applyAlignment="1">
      <alignment horizontal="right" vertical="top"/>
    </xf>
    <xf numFmtId="0" fontId="243" fillId="0" borderId="0" xfId="0" applyFont="1" applyAlignment="1">
      <alignment horizontal="left" vertical="top" indent="1"/>
    </xf>
    <xf numFmtId="173" fontId="3" fillId="0" borderId="0" xfId="0" applyNumberFormat="1" applyFont="1" applyAlignment="1">
      <alignment horizontal="right" vertical="top"/>
    </xf>
    <xf numFmtId="0" fontId="3" fillId="0" borderId="0" xfId="0" applyFont="1" applyAlignment="1" applyProtection="1">
      <alignment horizontal="left" indent="1"/>
      <protection locked="0"/>
    </xf>
    <xf numFmtId="173" fontId="3" fillId="0" borderId="0" xfId="0" applyNumberFormat="1" applyFont="1" applyAlignment="1">
      <alignment horizontal="center"/>
    </xf>
    <xf numFmtId="172" fontId="0" fillId="52" borderId="61" xfId="0" applyNumberFormat="1" applyFill="1" applyBorder="1" applyAlignment="1">
      <alignment horizontal="right"/>
    </xf>
    <xf numFmtId="172" fontId="0" fillId="52" borderId="62" xfId="0" applyNumberFormat="1" applyFill="1" applyBorder="1" applyAlignment="1">
      <alignment horizontal="right"/>
    </xf>
    <xf numFmtId="172" fontId="0" fillId="51" borderId="64" xfId="0" applyNumberFormat="1" applyFill="1" applyBorder="1" applyAlignment="1">
      <alignment horizontal="right"/>
    </xf>
    <xf numFmtId="172" fontId="5" fillId="51" borderId="65" xfId="75" applyNumberFormat="1" applyFont="1" applyFill="1" applyBorder="1" applyAlignment="1">
      <alignment horizontal="right"/>
    </xf>
    <xf numFmtId="172" fontId="0" fillId="51" borderId="65" xfId="0" applyNumberFormat="1" applyFill="1" applyBorder="1" applyAlignment="1">
      <alignment horizontal="right"/>
    </xf>
    <xf numFmtId="173" fontId="0" fillId="0" borderId="0" xfId="0" applyNumberFormat="1" applyAlignment="1">
      <alignment horizontal="right"/>
    </xf>
    <xf numFmtId="173" fontId="3" fillId="0" borderId="0" xfId="0" applyNumberFormat="1" applyFont="1" applyAlignment="1">
      <alignment horizontal="right"/>
    </xf>
    <xf numFmtId="0" fontId="5" fillId="42" borderId="0" xfId="0" applyFont="1" applyFill="1" applyAlignment="1">
      <alignment horizontal="left" vertical="center" indent="1"/>
    </xf>
    <xf numFmtId="1" fontId="3" fillId="0" borderId="0" xfId="0" applyNumberFormat="1" applyFont="1" applyAlignment="1">
      <alignment horizontal="right"/>
    </xf>
    <xf numFmtId="172" fontId="0" fillId="52" borderId="73" xfId="0" applyNumberFormat="1" applyFill="1" applyBorder="1" applyAlignment="1">
      <alignment horizontal="right"/>
    </xf>
    <xf numFmtId="172" fontId="0" fillId="52" borderId="74" xfId="0" applyNumberFormat="1" applyFill="1" applyBorder="1" applyAlignment="1">
      <alignment horizontal="right"/>
    </xf>
    <xf numFmtId="172" fontId="0" fillId="52" borderId="75" xfId="0" applyNumberFormat="1" applyFill="1" applyBorder="1" applyAlignment="1">
      <alignment horizontal="right"/>
    </xf>
    <xf numFmtId="173" fontId="0" fillId="54" borderId="73" xfId="0" applyNumberFormat="1" applyFill="1" applyBorder="1" applyAlignment="1">
      <alignment horizontal="right"/>
    </xf>
    <xf numFmtId="1" fontId="3" fillId="0" borderId="0" xfId="0" applyNumberFormat="1" applyFont="1" applyAlignment="1">
      <alignment horizontal="center"/>
    </xf>
    <xf numFmtId="0" fontId="260" fillId="47" borderId="132" xfId="90" applyFont="1" applyFill="1" applyBorder="1" applyAlignment="1">
      <alignment horizontal="left"/>
    </xf>
    <xf numFmtId="0" fontId="261" fillId="47" borderId="23" xfId="90" applyFont="1" applyFill="1" applyBorder="1" applyAlignment="1">
      <alignment horizontal="left"/>
    </xf>
    <xf numFmtId="0" fontId="30" fillId="47" borderId="23" xfId="90" applyFont="1" applyFill="1" applyBorder="1" applyAlignment="1">
      <alignment horizontal="center" vertical="center"/>
    </xf>
    <xf numFmtId="0" fontId="30" fillId="47" borderId="23" xfId="90" applyFont="1" applyFill="1" applyBorder="1" applyAlignment="1">
      <alignment horizontal="left"/>
    </xf>
    <xf numFmtId="0" fontId="261" fillId="47" borderId="0" xfId="90" applyFont="1" applyFill="1" applyAlignment="1">
      <alignment horizontal="left"/>
    </xf>
    <xf numFmtId="0" fontId="30" fillId="47" borderId="0" xfId="90" applyFont="1" applyFill="1" applyAlignment="1">
      <alignment horizontal="center" vertical="center"/>
    </xf>
    <xf numFmtId="0" fontId="30" fillId="47" borderId="0" xfId="90" applyFont="1" applyFill="1" applyAlignment="1">
      <alignment horizontal="left"/>
    </xf>
    <xf numFmtId="0" fontId="260" fillId="47" borderId="94" xfId="90" applyFont="1" applyFill="1" applyBorder="1" applyAlignment="1">
      <alignment horizontal="left"/>
    </xf>
    <xf numFmtId="0" fontId="261" fillId="47" borderId="91" xfId="90" applyFont="1" applyFill="1" applyBorder="1" applyAlignment="1">
      <alignment horizontal="left"/>
    </xf>
    <xf numFmtId="0" fontId="0" fillId="42" borderId="0" xfId="0" applyFill="1" applyAlignment="1">
      <alignment horizontal="left" vertical="top" indent="1"/>
    </xf>
    <xf numFmtId="0" fontId="0" fillId="3" borderId="131" xfId="0" applyFill="1" applyBorder="1" applyAlignment="1">
      <alignment horizontal="center" vertical="center" wrapText="1"/>
    </xf>
    <xf numFmtId="0" fontId="0" fillId="42" borderId="0" xfId="0" applyFill="1" applyAlignment="1">
      <alignment horizontal="center" vertical="center" wrapText="1"/>
    </xf>
    <xf numFmtId="173" fontId="3" fillId="42" borderId="0" xfId="0" applyNumberFormat="1" applyFont="1" applyFill="1" applyAlignment="1">
      <alignment horizontal="right" vertical="top"/>
    </xf>
    <xf numFmtId="1" fontId="0" fillId="0" borderId="73" xfId="0" applyNumberFormat="1" applyBorder="1" applyAlignment="1">
      <alignment horizontal="right" vertical="top"/>
    </xf>
    <xf numFmtId="1" fontId="0" fillId="0" borderId="74" xfId="0" applyNumberFormat="1" applyBorder="1" applyAlignment="1">
      <alignment horizontal="right" vertical="top"/>
    </xf>
    <xf numFmtId="1" fontId="0" fillId="0" borderId="75" xfId="0" applyNumberFormat="1" applyBorder="1" applyAlignment="1">
      <alignment horizontal="right" vertical="top"/>
    </xf>
    <xf numFmtId="0" fontId="239" fillId="0" borderId="0" xfId="90" applyFont="1" applyAlignment="1">
      <alignment horizontal="left"/>
    </xf>
    <xf numFmtId="0" fontId="240" fillId="0" borderId="0" xfId="0" applyFont="1"/>
    <xf numFmtId="0" fontId="241" fillId="0" borderId="91" xfId="75" applyFont="1" applyBorder="1"/>
    <xf numFmtId="0" fontId="241" fillId="0" borderId="0" xfId="75" applyFont="1"/>
    <xf numFmtId="1" fontId="3" fillId="0" borderId="0" xfId="0" applyNumberFormat="1" applyFont="1" applyAlignment="1">
      <alignment horizontal="center" vertical="center"/>
    </xf>
    <xf numFmtId="168" fontId="5" fillId="3" borderId="0" xfId="0" applyNumberFormat="1" applyFont="1" applyFill="1" applyAlignment="1">
      <alignment horizontal="left" vertical="center" indent="1"/>
    </xf>
    <xf numFmtId="168" fontId="6" fillId="0" borderId="0" xfId="0" applyNumberFormat="1" applyFont="1" applyAlignment="1">
      <alignment vertical="center"/>
    </xf>
    <xf numFmtId="172" fontId="5"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72" fontId="0" fillId="51" borderId="61" xfId="0" applyNumberFormat="1" applyFill="1" applyBorder="1" applyAlignment="1">
      <alignment horizontal="right"/>
    </xf>
    <xf numFmtId="172" fontId="0" fillId="51" borderId="62" xfId="0" applyNumberFormat="1" applyFill="1" applyBorder="1" applyAlignment="1">
      <alignment horizontal="right"/>
    </xf>
    <xf numFmtId="0" fontId="6" fillId="53" borderId="0" xfId="85" applyFont="1" applyFill="1" applyAlignment="1">
      <alignment horizontal="left" vertical="center" wrapText="1"/>
    </xf>
    <xf numFmtId="0" fontId="5" fillId="53" borderId="0" xfId="85" applyFont="1" applyFill="1" applyAlignment="1">
      <alignment horizontal="left" vertical="center" wrapText="1"/>
    </xf>
    <xf numFmtId="0" fontId="243" fillId="0" borderId="0" xfId="0" applyFont="1" applyAlignment="1">
      <alignment vertical="top"/>
    </xf>
    <xf numFmtId="172" fontId="0" fillId="0" borderId="0" xfId="0" applyNumberFormat="1" applyAlignment="1">
      <alignment horizontal="left" vertical="top"/>
    </xf>
    <xf numFmtId="0" fontId="3" fillId="0" borderId="0" xfId="0" applyFont="1" applyAlignment="1">
      <alignment vertical="top"/>
    </xf>
    <xf numFmtId="172" fontId="0" fillId="0" borderId="73" xfId="0" applyNumberFormat="1" applyBorder="1" applyAlignment="1">
      <alignment horizontal="right" vertical="top"/>
    </xf>
    <xf numFmtId="172" fontId="0" fillId="0" borderId="75" xfId="0" applyNumberFormat="1" applyBorder="1" applyAlignment="1">
      <alignment horizontal="right" vertical="top"/>
    </xf>
    <xf numFmtId="172" fontId="0" fillId="0" borderId="63" xfId="0" applyNumberFormat="1" applyBorder="1" applyAlignment="1">
      <alignment horizontal="right" vertical="top"/>
    </xf>
    <xf numFmtId="172" fontId="0" fillId="0" borderId="69" xfId="0" applyNumberFormat="1" applyBorder="1" applyAlignment="1">
      <alignment horizontal="right" vertical="top"/>
    </xf>
    <xf numFmtId="0" fontId="26" fillId="0" borderId="0" xfId="75" applyFont="1"/>
    <xf numFmtId="168" fontId="5" fillId="42" borderId="0" xfId="0" applyNumberFormat="1" applyFont="1" applyFill="1" applyAlignment="1">
      <alignment vertical="center"/>
    </xf>
    <xf numFmtId="0" fontId="0" fillId="3" borderId="0" xfId="0" applyFill="1" applyAlignment="1">
      <alignment horizontal="left" vertical="top" indent="1"/>
    </xf>
    <xf numFmtId="0" fontId="0" fillId="3" borderId="0" xfId="0" applyFill="1" applyAlignment="1">
      <alignment horizontal="left" vertical="top" indent="1"/>
    </xf>
    <xf numFmtId="172" fontId="0" fillId="133" borderId="63" xfId="0" applyNumberFormat="1" applyFill="1" applyBorder="1" applyAlignment="1">
      <alignment horizontal="right"/>
    </xf>
    <xf numFmtId="172" fontId="0" fillId="134" borderId="66" xfId="0" applyNumberFormat="1" applyFill="1" applyBorder="1" applyAlignment="1">
      <alignment horizontal="right"/>
    </xf>
    <xf numFmtId="172" fontId="0" fillId="132" borderId="61" xfId="0" applyNumberFormat="1" applyFill="1" applyBorder="1" applyAlignment="1">
      <alignment horizontal="right" vertical="top"/>
    </xf>
    <xf numFmtId="172" fontId="3" fillId="133" borderId="75" xfId="0" applyNumberFormat="1" applyFont="1" applyFill="1" applyBorder="1" applyAlignment="1">
      <alignment horizontal="right"/>
    </xf>
    <xf numFmtId="173" fontId="5" fillId="36" borderId="62" xfId="75" applyNumberFormat="1" applyFont="1" applyFill="1" applyBorder="1" applyAlignment="1">
      <alignment horizontal="center"/>
    </xf>
    <xf numFmtId="173" fontId="5" fillId="36" borderId="65" xfId="75" applyNumberFormat="1" applyFont="1" applyFill="1" applyBorder="1" applyAlignment="1">
      <alignment horizontal="center"/>
    </xf>
    <xf numFmtId="352" fontId="0" fillId="0" borderId="0" xfId="0" applyNumberFormat="1" applyFill="1"/>
    <xf numFmtId="43" fontId="0" fillId="0" borderId="0" xfId="0" applyNumberFormat="1" applyAlignment="1">
      <alignment horizontal="left" vertical="top"/>
    </xf>
    <xf numFmtId="43" fontId="0" fillId="0" borderId="0" xfId="0" applyNumberFormat="1" applyFill="1" applyAlignment="1">
      <alignment horizontal="left" vertical="top"/>
    </xf>
    <xf numFmtId="0" fontId="0" fillId="0" borderId="0" xfId="0" applyAlignment="1">
      <alignment horizontal="center"/>
    </xf>
    <xf numFmtId="0" fontId="5" fillId="0" borderId="0" xfId="85" applyFont="1" applyAlignment="1">
      <alignment horizontal="left" vertical="center" wrapText="1"/>
    </xf>
    <xf numFmtId="170" fontId="0" fillId="0" borderId="0" xfId="77" applyNumberFormat="1" applyFont="1"/>
    <xf numFmtId="170" fontId="0" fillId="0" borderId="0" xfId="77" applyNumberFormat="1" applyFont="1" applyFill="1"/>
    <xf numFmtId="172" fontId="5" fillId="39" borderId="72" xfId="1" applyNumberFormat="1" applyFont="1" applyFill="1" applyBorder="1" applyProtection="1"/>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3" fontId="0" fillId="54" borderId="74" xfId="0" applyNumberFormat="1" applyFill="1" applyBorder="1" applyAlignment="1">
      <alignment horizontal="right"/>
    </xf>
    <xf numFmtId="173" fontId="0" fillId="54" borderId="75" xfId="0" applyNumberFormat="1" applyFill="1" applyBorder="1" applyAlignment="1">
      <alignment horizontal="right"/>
    </xf>
    <xf numFmtId="172" fontId="0" fillId="3" borderId="72" xfId="0" applyNumberFormat="1" applyFill="1" applyBorder="1" applyAlignment="1">
      <alignment horizontal="right" vertical="top"/>
    </xf>
    <xf numFmtId="172" fontId="3" fillId="52" borderId="8" xfId="0" applyNumberFormat="1" applyFont="1" applyFill="1" applyBorder="1" applyAlignment="1">
      <alignment horizontal="right" vertical="top"/>
    </xf>
    <xf numFmtId="172" fontId="5" fillId="52" borderId="62" xfId="2" applyNumberFormat="1" applyFont="1" applyFill="1" applyBorder="1" applyAlignment="1">
      <alignment vertical="center"/>
    </xf>
    <xf numFmtId="172" fontId="5" fillId="52" borderId="6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8" xfId="2" applyNumberFormat="1" applyFont="1" applyFill="1" applyBorder="1" applyAlignment="1">
      <alignment vertical="center"/>
    </xf>
    <xf numFmtId="172" fontId="5" fillId="52" borderId="69" xfId="2" applyNumberFormat="1" applyFont="1" applyFill="1" applyBorder="1" applyAlignment="1">
      <alignment vertical="center"/>
    </xf>
    <xf numFmtId="172" fontId="5" fillId="52" borderId="116" xfId="2" applyNumberFormat="1" applyFont="1" applyFill="1" applyBorder="1" applyAlignment="1">
      <alignment vertical="center"/>
    </xf>
    <xf numFmtId="172" fontId="5" fillId="52" borderId="96" xfId="2" applyNumberFormat="1" applyFont="1" applyFill="1" applyBorder="1" applyAlignment="1">
      <alignment vertical="center"/>
    </xf>
    <xf numFmtId="172" fontId="5" fillId="52" borderId="97" xfId="2" applyNumberFormat="1" applyFont="1" applyFill="1" applyBorder="1" applyAlignment="1">
      <alignment vertical="center"/>
    </xf>
    <xf numFmtId="9" fontId="5" fillId="0" borderId="8" xfId="2" applyNumberFormat="1" applyFont="1" applyFill="1" applyBorder="1" applyAlignment="1">
      <alignment vertical="center"/>
    </xf>
    <xf numFmtId="9" fontId="5" fillId="0" borderId="30" xfId="2" applyNumberFormat="1" applyFont="1" applyFill="1" applyBorder="1" applyAlignment="1">
      <alignment vertical="center"/>
    </xf>
    <xf numFmtId="172" fontId="6" fillId="38" borderId="116" xfId="1" applyNumberFormat="1" applyFont="1" applyFill="1" applyBorder="1" applyProtection="1"/>
    <xf numFmtId="172" fontId="6" fillId="38" borderId="96" xfId="1" applyNumberFormat="1" applyFont="1" applyFill="1" applyBorder="1" applyProtection="1"/>
    <xf numFmtId="172" fontId="6" fillId="38" borderId="97" xfId="1" applyNumberFormat="1" applyFont="1" applyFill="1" applyBorder="1" applyProtection="1"/>
    <xf numFmtId="172" fontId="5" fillId="3" borderId="63"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3" borderId="69" xfId="2" applyNumberFormat="1" applyFont="1" applyFill="1" applyBorder="1"/>
    <xf numFmtId="172" fontId="5" fillId="51" borderId="74" xfId="1" applyNumberFormat="1" applyFont="1" applyFill="1" applyBorder="1" applyProtection="1"/>
    <xf numFmtId="172" fontId="5" fillId="51" borderId="75" xfId="1" applyNumberFormat="1" applyFont="1" applyFill="1" applyBorder="1" applyProtection="1"/>
    <xf numFmtId="178" fontId="0" fillId="51" borderId="74" xfId="1" applyNumberFormat="1" applyFont="1" applyFill="1" applyBorder="1" applyAlignment="1">
      <alignment horizontal="right"/>
    </xf>
    <xf numFmtId="178" fontId="0" fillId="51" borderId="75" xfId="1" applyNumberFormat="1" applyFont="1" applyFill="1" applyBorder="1" applyAlignment="1">
      <alignment horizontal="right"/>
    </xf>
    <xf numFmtId="172" fontId="6" fillId="51" borderId="61" xfId="1" applyNumberFormat="1" applyFont="1" applyFill="1" applyBorder="1" applyProtection="1"/>
    <xf numFmtId="172" fontId="6" fillId="51" borderId="62" xfId="1" applyNumberFormat="1" applyFont="1" applyFill="1" applyBorder="1" applyProtection="1"/>
    <xf numFmtId="172" fontId="6" fillId="51" borderId="63" xfId="1" applyNumberFormat="1" applyFont="1" applyFill="1" applyBorder="1" applyProtection="1"/>
    <xf numFmtId="173" fontId="0" fillId="0" borderId="64" xfId="0" applyNumberFormat="1" applyBorder="1" applyAlignment="1">
      <alignment horizontal="right"/>
    </xf>
    <xf numFmtId="173" fontId="0" fillId="0" borderId="65" xfId="0" applyNumberFormat="1" applyBorder="1" applyAlignment="1">
      <alignment horizontal="right"/>
    </xf>
    <xf numFmtId="172" fontId="0" fillId="0" borderId="65" xfId="0" applyNumberFormat="1" applyBorder="1" applyAlignment="1">
      <alignment horizontal="right"/>
    </xf>
    <xf numFmtId="172" fontId="0" fillId="0" borderId="66" xfId="0" applyNumberFormat="1" applyBorder="1" applyAlignment="1">
      <alignment horizontal="right"/>
    </xf>
    <xf numFmtId="172" fontId="6" fillId="51" borderId="64" xfId="1" applyNumberFormat="1" applyFont="1" applyFill="1" applyBorder="1" applyProtection="1"/>
    <xf numFmtId="172" fontId="6" fillId="51" borderId="65" xfId="1" applyNumberFormat="1" applyFont="1" applyFill="1" applyBorder="1" applyProtection="1"/>
    <xf numFmtId="172" fontId="6" fillId="51" borderId="66" xfId="1" applyNumberFormat="1" applyFont="1" applyFill="1" applyBorder="1" applyProtection="1"/>
    <xf numFmtId="172" fontId="6" fillId="51" borderId="67" xfId="1" applyNumberFormat="1" applyFont="1" applyFill="1" applyBorder="1" applyProtection="1"/>
    <xf numFmtId="172" fontId="6" fillId="51" borderId="68" xfId="1" applyNumberFormat="1" applyFont="1" applyFill="1" applyBorder="1" applyProtection="1"/>
    <xf numFmtId="172" fontId="6" fillId="51" borderId="69" xfId="1" applyNumberFormat="1" applyFont="1" applyFill="1" applyBorder="1" applyProtection="1"/>
    <xf numFmtId="172" fontId="6" fillId="42" borderId="23" xfId="1" applyNumberFormat="1" applyFont="1" applyFill="1" applyBorder="1" applyProtection="1"/>
    <xf numFmtId="172" fontId="6" fillId="42" borderId="30" xfId="2" applyNumberFormat="1" applyFont="1" applyFill="1" applyBorder="1" applyAlignment="1">
      <alignment horizontal="right" vertical="center"/>
    </xf>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0" fontId="5" fillId="117" borderId="61" xfId="1" applyNumberFormat="1" applyFont="1" applyFill="1" applyBorder="1" applyProtection="1"/>
    <xf numFmtId="170" fontId="5" fillId="117" borderId="62" xfId="1" applyNumberFormat="1" applyFont="1" applyFill="1" applyBorder="1" applyProtection="1"/>
    <xf numFmtId="170" fontId="5" fillId="117" borderId="63" xfId="1" applyNumberFormat="1" applyFont="1" applyFill="1" applyBorder="1" applyProtection="1"/>
    <xf numFmtId="170" fontId="5" fillId="117" borderId="67" xfId="1" applyNumberFormat="1" applyFont="1" applyFill="1" applyBorder="1" applyProtection="1"/>
    <xf numFmtId="170" fontId="5" fillId="117" borderId="68" xfId="1" applyNumberFormat="1" applyFont="1" applyFill="1" applyBorder="1" applyProtection="1"/>
    <xf numFmtId="170" fontId="5" fillId="117" borderId="69" xfId="1" applyNumberFormat="1" applyFont="1" applyFill="1" applyBorder="1" applyProtection="1"/>
    <xf numFmtId="172" fontId="0" fillId="51" borderId="69" xfId="1" applyNumberFormat="1" applyFont="1" applyFill="1" applyBorder="1" applyAlignment="1"/>
    <xf numFmtId="172" fontId="5" fillId="52" borderId="9" xfId="2" applyNumberFormat="1" applyFont="1" applyFill="1" applyBorder="1" applyAlignment="1">
      <alignment horizontal="right" vertical="center"/>
    </xf>
    <xf numFmtId="172" fontId="5" fillId="52" borderId="7" xfId="2" applyNumberFormat="1" applyFont="1" applyFill="1" applyBorder="1" applyAlignment="1">
      <alignment horizontal="right" vertical="center"/>
    </xf>
    <xf numFmtId="172" fontId="3" fillId="52" borderId="74" xfId="1" applyNumberFormat="1" applyFont="1" applyFill="1" applyBorder="1" applyAlignment="1">
      <alignment horizontal="right"/>
    </xf>
    <xf numFmtId="172" fontId="3" fillId="52" borderId="75" xfId="1" applyNumberFormat="1" applyFont="1" applyFill="1" applyBorder="1" applyAlignment="1">
      <alignment horizontal="right"/>
    </xf>
    <xf numFmtId="172" fontId="5" fillId="52" borderId="62" xfId="1" applyNumberFormat="1" applyFont="1" applyFill="1" applyBorder="1" applyProtection="1"/>
    <xf numFmtId="172" fontId="5" fillId="3" borderId="7" xfId="2" applyNumberFormat="1" applyFont="1" applyFill="1" applyBorder="1"/>
    <xf numFmtId="9" fontId="0" fillId="51" borderId="116" xfId="1" applyNumberFormat="1" applyFont="1" applyFill="1" applyBorder="1" applyAlignment="1">
      <alignment horizontal="right"/>
    </xf>
    <xf numFmtId="9" fontId="0" fillId="51" borderId="96" xfId="1" applyNumberFormat="1" applyFont="1" applyFill="1" applyBorder="1" applyAlignment="1">
      <alignment horizontal="right"/>
    </xf>
    <xf numFmtId="9" fontId="0" fillId="51" borderId="97" xfId="1" applyNumberFormat="1" applyFont="1" applyFill="1" applyBorder="1" applyAlignment="1">
      <alignment horizontal="right"/>
    </xf>
    <xf numFmtId="172" fontId="0" fillId="51" borderId="74" xfId="0" applyNumberFormat="1" applyFill="1" applyBorder="1"/>
    <xf numFmtId="172" fontId="0" fillId="51" borderId="75" xfId="0" applyNumberFormat="1" applyFill="1" applyBorder="1"/>
    <xf numFmtId="0" fontId="0" fillId="52" borderId="61" xfId="0" applyFill="1" applyBorder="1" applyAlignment="1">
      <alignment horizontal="right" vertical="top"/>
    </xf>
    <xf numFmtId="172" fontId="5" fillId="3" borderId="74" xfId="2" applyNumberFormat="1" applyFont="1" applyFill="1" applyBorder="1"/>
    <xf numFmtId="172" fontId="5" fillId="3" borderId="75" xfId="2" applyNumberFormat="1" applyFont="1" applyFill="1" applyBorder="1"/>
    <xf numFmtId="178" fontId="0" fillId="51" borderId="61" xfId="0" applyNumberFormat="1" applyFill="1" applyBorder="1" applyAlignment="1">
      <alignment horizontal="right" vertical="top"/>
    </xf>
    <xf numFmtId="178" fontId="0" fillId="51" borderId="62" xfId="0" applyNumberFormat="1" applyFill="1" applyBorder="1" applyAlignment="1">
      <alignment horizontal="right" vertical="top"/>
    </xf>
    <xf numFmtId="178" fontId="0" fillId="51" borderId="63" xfId="0" applyNumberFormat="1" applyFill="1" applyBorder="1" applyAlignment="1">
      <alignment horizontal="right" vertical="top"/>
    </xf>
    <xf numFmtId="178" fontId="0" fillId="51" borderId="67" xfId="0" applyNumberFormat="1" applyFill="1" applyBorder="1" applyAlignment="1">
      <alignment horizontal="right" vertical="top"/>
    </xf>
    <xf numFmtId="178" fontId="0" fillId="51" borderId="68" xfId="0" applyNumberFormat="1" applyFill="1" applyBorder="1" applyAlignment="1">
      <alignment horizontal="right" vertical="top"/>
    </xf>
    <xf numFmtId="178" fontId="0" fillId="51" borderId="69" xfId="0" applyNumberFormat="1" applyFill="1" applyBorder="1" applyAlignment="1">
      <alignment horizontal="right" vertical="top"/>
    </xf>
    <xf numFmtId="178" fontId="0" fillId="51" borderId="7" xfId="0" applyNumberFormat="1" applyFill="1" applyBorder="1" applyAlignment="1">
      <alignment horizontal="right" vertical="top"/>
    </xf>
    <xf numFmtId="178" fontId="0" fillId="42" borderId="0" xfId="0" applyNumberFormat="1" applyFill="1" applyAlignment="1">
      <alignment horizontal="right" vertical="top"/>
    </xf>
    <xf numFmtId="172" fontId="0" fillId="52" borderId="73" xfId="0" applyNumberFormat="1" applyFill="1" applyBorder="1"/>
    <xf numFmtId="172" fontId="0" fillId="52" borderId="74" xfId="0" applyNumberFormat="1" applyFill="1" applyBorder="1"/>
    <xf numFmtId="172" fontId="0" fillId="52" borderId="75" xfId="0" applyNumberFormat="1" applyFill="1" applyBorder="1"/>
    <xf numFmtId="172" fontId="0" fillId="52" borderId="67" xfId="0" applyNumberFormat="1" applyFill="1" applyBorder="1"/>
    <xf numFmtId="172" fontId="0" fillId="52" borderId="68" xfId="0" applyNumberFormat="1" applyFill="1" applyBorder="1"/>
    <xf numFmtId="172" fontId="0" fillId="52" borderId="69" xfId="0" applyNumberFormat="1" applyFill="1" applyBorder="1"/>
    <xf numFmtId="172" fontId="0" fillId="3" borderId="112" xfId="0" applyNumberFormat="1" applyFill="1" applyBorder="1" applyAlignment="1">
      <alignment horizontal="right" vertical="top"/>
    </xf>
    <xf numFmtId="172" fontId="0" fillId="52" borderId="67" xfId="0" applyNumberFormat="1" applyFill="1" applyBorder="1" applyAlignment="1">
      <alignment horizontal="right" vertical="top"/>
    </xf>
    <xf numFmtId="172" fontId="0" fillId="52" borderId="68"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67" xfId="0" applyNumberFormat="1" applyFill="1" applyBorder="1" applyAlignment="1">
      <alignment horizontal="right" vertical="center"/>
    </xf>
    <xf numFmtId="172" fontId="0" fillId="52" borderId="68" xfId="0" applyNumberFormat="1" applyFill="1" applyBorder="1" applyAlignment="1">
      <alignment horizontal="right" vertical="center"/>
    </xf>
    <xf numFmtId="172" fontId="0" fillId="52" borderId="69" xfId="0" applyNumberFormat="1" applyFill="1" applyBorder="1" applyAlignment="1">
      <alignment horizontal="right" vertical="center"/>
    </xf>
    <xf numFmtId="172" fontId="0" fillId="52" borderId="61" xfId="0" applyNumberFormat="1" applyFill="1" applyBorder="1" applyAlignment="1">
      <alignment horizontal="right" vertical="center"/>
    </xf>
    <xf numFmtId="172" fontId="0" fillId="52" borderId="62" xfId="0" applyNumberFormat="1" applyFill="1" applyBorder="1" applyAlignment="1">
      <alignment horizontal="right" vertical="center"/>
    </xf>
    <xf numFmtId="172" fontId="0" fillId="52" borderId="63" xfId="0" applyNumberFormat="1" applyFill="1" applyBorder="1" applyAlignment="1">
      <alignment horizontal="right" vertical="center"/>
    </xf>
    <xf numFmtId="172" fontId="0" fillId="52" borderId="64" xfId="0" applyNumberFormat="1" applyFill="1" applyBorder="1" applyAlignment="1">
      <alignment horizontal="right" vertical="center"/>
    </xf>
    <xf numFmtId="172" fontId="0" fillId="52" borderId="65" xfId="0" applyNumberFormat="1" applyFill="1" applyBorder="1" applyAlignment="1">
      <alignment horizontal="right" vertical="center"/>
    </xf>
    <xf numFmtId="172" fontId="0" fillId="52" borderId="66" xfId="0" applyNumberFormat="1" applyFill="1" applyBorder="1" applyAlignment="1">
      <alignment horizontal="right" vertical="center"/>
    </xf>
    <xf numFmtId="172" fontId="0" fillId="3" borderId="139" xfId="0" applyNumberFormat="1" applyFill="1" applyBorder="1" applyAlignment="1">
      <alignment horizontal="right" vertical="top"/>
    </xf>
    <xf numFmtId="172" fontId="0" fillId="0" borderId="74" xfId="0" applyNumberFormat="1" applyBorder="1" applyAlignment="1">
      <alignment horizontal="right" vertical="top"/>
    </xf>
    <xf numFmtId="172" fontId="0" fillId="0" borderId="61" xfId="0" applyNumberFormat="1" applyBorder="1" applyAlignment="1">
      <alignment horizontal="right" vertical="top"/>
    </xf>
    <xf numFmtId="172" fontId="0" fillId="0" borderId="62" xfId="0" applyNumberFormat="1" applyBorder="1" applyAlignment="1">
      <alignment horizontal="right" vertical="top"/>
    </xf>
    <xf numFmtId="172" fontId="0" fillId="0" borderId="67" xfId="0" applyNumberFormat="1" applyBorder="1" applyAlignment="1">
      <alignment horizontal="right" vertical="top"/>
    </xf>
    <xf numFmtId="172" fontId="0" fillId="0" borderId="68" xfId="0" applyNumberFormat="1" applyBorder="1" applyAlignment="1">
      <alignment horizontal="right" vertical="top"/>
    </xf>
    <xf numFmtId="172" fontId="5" fillId="38" borderId="9" xfId="1" applyNumberFormat="1" applyFont="1" applyFill="1" applyBorder="1" applyProtection="1"/>
    <xf numFmtId="14" fontId="5" fillId="3" borderId="7" xfId="2" applyNumberFormat="1" applyFont="1" applyFill="1" applyBorder="1"/>
    <xf numFmtId="172" fontId="0" fillId="0" borderId="7" xfId="0" applyNumberFormat="1" applyBorder="1" applyAlignment="1">
      <alignment horizontal="right" vertical="top"/>
    </xf>
    <xf numFmtId="172" fontId="5" fillId="38" borderId="7" xfId="1" applyNumberFormat="1" applyFont="1" applyFill="1" applyBorder="1" applyProtection="1"/>
    <xf numFmtId="0" fontId="0" fillId="3" borderId="104"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99" xfId="0" applyFill="1" applyBorder="1" applyAlignment="1">
      <alignment horizontal="left" vertical="center" wrapText="1" indent="1"/>
    </xf>
    <xf numFmtId="0" fontId="0" fillId="3" borderId="106"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3" borderId="101" xfId="0" applyFill="1" applyBorder="1" applyAlignment="1">
      <alignment horizontal="left" vertical="center" wrapText="1" indent="1"/>
    </xf>
    <xf numFmtId="3" fontId="0" fillId="0" borderId="8" xfId="0" applyNumberFormat="1" applyBorder="1" applyAlignment="1">
      <alignment horizontal="center" vertical="center" wrapText="1"/>
    </xf>
    <xf numFmtId="0" fontId="0" fillId="0" borderId="30" xfId="0" applyBorder="1" applyAlignment="1">
      <alignment horizontal="center" vertical="center" wrapText="1"/>
    </xf>
    <xf numFmtId="0" fontId="0" fillId="0" borderId="9" xfId="0" applyBorder="1" applyAlignment="1">
      <alignment horizontal="center" vertical="center" wrapText="1"/>
    </xf>
    <xf numFmtId="0" fontId="0" fillId="3" borderId="108" xfId="0" applyFill="1" applyBorder="1" applyAlignment="1">
      <alignment horizontal="left" vertical="center" wrapText="1" indent="1"/>
    </xf>
    <xf numFmtId="0" fontId="0" fillId="3" borderId="86"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0" borderId="8" xfId="0" applyBorder="1" applyAlignment="1">
      <alignment horizontal="center" vertical="center" wrapText="1"/>
    </xf>
    <xf numFmtId="0" fontId="0" fillId="3" borderId="8" xfId="0" applyFill="1" applyBorder="1" applyAlignment="1">
      <alignment horizontal="left" vertical="center" indent="1"/>
    </xf>
    <xf numFmtId="0" fontId="0" fillId="3" borderId="9" xfId="0" applyFill="1" applyBorder="1" applyAlignment="1">
      <alignment horizontal="left" vertical="center" indent="1"/>
    </xf>
    <xf numFmtId="0" fontId="0" fillId="3" borderId="8"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0" borderId="28" xfId="0" applyBorder="1" applyAlignment="1">
      <alignment horizontal="center"/>
    </xf>
    <xf numFmtId="0" fontId="29" fillId="0" borderId="7" xfId="92" applyBorder="1" applyAlignment="1">
      <alignment horizontal="center"/>
    </xf>
    <xf numFmtId="1" fontId="3" fillId="0" borderId="8" xfId="0" applyNumberFormat="1" applyFont="1" applyFill="1" applyBorder="1" applyAlignment="1">
      <alignment horizontal="center" vertical="center"/>
    </xf>
    <xf numFmtId="1" fontId="3" fillId="0" borderId="30"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0" fontId="0" fillId="0" borderId="108" xfId="0" applyBorder="1" applyAlignment="1">
      <alignment horizontal="left"/>
    </xf>
    <xf numFmtId="0" fontId="0" fillId="0" borderId="86" xfId="0" applyBorder="1" applyAlignment="1">
      <alignment horizontal="left"/>
    </xf>
    <xf numFmtId="0" fontId="0" fillId="0" borderId="88" xfId="0" applyBorder="1" applyAlignment="1">
      <alignment horizontal="left"/>
    </xf>
    <xf numFmtId="0" fontId="0" fillId="0" borderId="106" xfId="0" applyBorder="1" applyAlignment="1">
      <alignment horizontal="left"/>
    </xf>
    <xf numFmtId="0" fontId="0" fillId="0" borderId="107" xfId="0" applyBorder="1" applyAlignment="1">
      <alignment horizontal="left"/>
    </xf>
    <xf numFmtId="0" fontId="0" fillId="0" borderId="84" xfId="0" applyBorder="1" applyAlignment="1">
      <alignment horizontal="left"/>
    </xf>
    <xf numFmtId="0" fontId="0" fillId="0" borderId="104" xfId="0" applyBorder="1" applyAlignment="1">
      <alignment horizontal="left"/>
    </xf>
    <xf numFmtId="0" fontId="0" fillId="0" borderId="105" xfId="0" applyBorder="1" applyAlignment="1">
      <alignment horizontal="left"/>
    </xf>
    <xf numFmtId="0" fontId="0" fillId="0" borderId="89" xfId="0" applyBorder="1" applyAlignment="1">
      <alignment horizontal="left"/>
    </xf>
    <xf numFmtId="0" fontId="0" fillId="0" borderId="102" xfId="0" applyBorder="1" applyAlignment="1">
      <alignment horizontal="center"/>
    </xf>
    <xf numFmtId="0" fontId="0" fillId="0" borderId="103"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0" fillId="53" borderId="0" xfId="0" applyFill="1" applyAlignment="1">
      <alignment horizontal="left" wrapText="1"/>
    </xf>
    <xf numFmtId="3" fontId="0" fillId="0" borderId="9" xfId="0" applyNumberFormat="1" applyBorder="1" applyAlignment="1">
      <alignment horizontal="center" vertical="center" wrapText="1"/>
    </xf>
    <xf numFmtId="0" fontId="5" fillId="36" borderId="28" xfId="75" applyNumberFormat="1" applyFont="1" applyFill="1" applyBorder="1" applyAlignment="1" applyProtection="1">
      <alignment horizontal="left" vertical="top" wrapText="1"/>
    </xf>
    <xf numFmtId="0" fontId="0" fillId="0" borderId="28" xfId="0" applyBorder="1" applyAlignment="1">
      <alignment horizontal="left" vertical="top" wrapText="1"/>
    </xf>
    <xf numFmtId="0" fontId="28" fillId="0" borderId="28" xfId="75" applyFont="1" applyBorder="1" applyAlignment="1">
      <alignment horizontal="center" vertical="center" wrapText="1"/>
    </xf>
    <xf numFmtId="0" fontId="0" fillId="0" borderId="28" xfId="0" applyBorder="1" applyAlignment="1">
      <alignment wrapText="1"/>
    </xf>
    <xf numFmtId="0" fontId="0" fillId="0" borderId="0" xfId="0" applyAlignment="1">
      <alignment horizontal="center"/>
    </xf>
    <xf numFmtId="0" fontId="0" fillId="3" borderId="0" xfId="0" applyFill="1" applyAlignment="1">
      <alignment horizontal="left" vertical="top" indent="1"/>
    </xf>
    <xf numFmtId="0" fontId="0" fillId="53" borderId="135" xfId="0" applyFill="1" applyBorder="1" applyAlignment="1">
      <alignment horizontal="center" vertical="top" wrapText="1"/>
    </xf>
    <xf numFmtId="0" fontId="0" fillId="53" borderId="1" xfId="0" applyFill="1" applyBorder="1" applyAlignment="1">
      <alignment horizontal="center" vertical="top" wrapText="1"/>
    </xf>
    <xf numFmtId="0" fontId="0" fillId="53" borderId="117" xfId="0" applyFill="1" applyBorder="1" applyAlignment="1">
      <alignment horizontal="center" vertical="top" wrapText="1"/>
    </xf>
    <xf numFmtId="165" fontId="5" fillId="3" borderId="108" xfId="2" applyNumberFormat="1" applyFont="1" applyFill="1" applyBorder="1" applyAlignment="1">
      <alignment vertical="center"/>
    </xf>
    <xf numFmtId="165" fontId="5" fillId="3" borderId="62" xfId="2" applyNumberFormat="1" applyFont="1" applyFill="1" applyBorder="1" applyAlignment="1">
      <alignment vertical="center"/>
    </xf>
    <xf numFmtId="165" fontId="5" fillId="3" borderId="63" xfId="2" applyNumberFormat="1" applyFont="1" applyFill="1" applyBorder="1" applyAlignment="1">
      <alignment vertical="center"/>
    </xf>
    <xf numFmtId="165" fontId="5" fillId="3" borderId="109" xfId="2" applyNumberFormat="1" applyFont="1" applyFill="1" applyBorder="1" applyAlignment="1">
      <alignment vertical="center"/>
    </xf>
    <xf numFmtId="165" fontId="5" fillId="3" borderId="68" xfId="2" applyNumberFormat="1" applyFont="1" applyFill="1" applyBorder="1" applyAlignment="1">
      <alignment vertical="center"/>
    </xf>
    <xf numFmtId="165" fontId="5" fillId="3" borderId="69" xfId="2" applyNumberFormat="1" applyFont="1" applyFill="1" applyBorder="1" applyAlignment="1">
      <alignment vertical="center"/>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66" xfId="2" applyNumberFormat="1" applyFont="1" applyFill="1" applyBorder="1" applyAlignment="1">
      <alignment vertical="center"/>
    </xf>
    <xf numFmtId="165" fontId="5" fillId="3" borderId="67" xfId="2" applyNumberFormat="1" applyFont="1" applyFill="1" applyBorder="1" applyAlignment="1">
      <alignment vertical="center"/>
    </xf>
    <xf numFmtId="172" fontId="6" fillId="38" borderId="7" xfId="1" applyNumberFormat="1" applyFont="1" applyFill="1" applyBorder="1" applyProtection="1"/>
    <xf numFmtId="172" fontId="0" fillId="117" borderId="136" xfId="0" applyNumberFormat="1" applyFill="1" applyBorder="1" applyAlignment="1">
      <alignment horizontal="right" vertical="top"/>
    </xf>
    <xf numFmtId="172" fontId="0" fillId="117" borderId="137" xfId="0" applyNumberFormat="1" applyFill="1" applyBorder="1" applyAlignment="1">
      <alignment horizontal="right" vertical="top"/>
    </xf>
    <xf numFmtId="172" fontId="0" fillId="117" borderId="138" xfId="0" applyNumberFormat="1" applyFill="1" applyBorder="1" applyAlignment="1">
      <alignment horizontal="right" vertical="top"/>
    </xf>
    <xf numFmtId="9" fontId="0" fillId="117" borderId="67" xfId="77" applyFont="1" applyFill="1" applyBorder="1" applyAlignment="1">
      <alignment horizontal="right" vertical="top"/>
    </xf>
    <xf numFmtId="9" fontId="0" fillId="117" borderId="68" xfId="77" applyFont="1" applyFill="1" applyBorder="1" applyAlignment="1">
      <alignment horizontal="right" vertical="top"/>
    </xf>
    <xf numFmtId="9" fontId="0" fillId="117" borderId="69" xfId="77" applyFont="1" applyFill="1" applyBorder="1" applyAlignment="1">
      <alignment horizontal="right" vertical="top"/>
    </xf>
    <xf numFmtId="172" fontId="5" fillId="52" borderId="65" xfId="2" applyNumberFormat="1" applyFont="1" applyFill="1" applyBorder="1"/>
    <xf numFmtId="172" fontId="5" fillId="52" borderId="67" xfId="2" applyNumberFormat="1" applyFont="1" applyFill="1" applyBorder="1"/>
    <xf numFmtId="172" fontId="5" fillId="52" borderId="68" xfId="2" applyNumberFormat="1" applyFont="1" applyFill="1" applyBorder="1"/>
    <xf numFmtId="172" fontId="5" fillId="52" borderId="69" xfId="2" applyNumberFormat="1" applyFont="1" applyFill="1" applyBorder="1"/>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8">
    <dxf>
      <fill>
        <patternFill patternType="darkUp">
          <fgColor rgb="FFC0C0C0"/>
          <bgColor theme="0"/>
        </patternFill>
      </fill>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CC"/>
      <color rgb="FFCCFFFF"/>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4" name="Rounded Rectangle 2">
          <a:hlinkClick xmlns:r="http://schemas.openxmlformats.org/officeDocument/2006/relationships" r:id="rId1"/>
          <a:extLst>
            <a:ext uri="{FF2B5EF4-FFF2-40B4-BE49-F238E27FC236}">
              <a16:creationId xmlns:a16="http://schemas.microsoft.com/office/drawing/2014/main" id="{B024EBAF-6AAB-48BD-A7D7-953A4C84D384}"/>
            </a:ext>
          </a:extLst>
        </xdr:cNvPr>
        <xdr:cNvSpPr/>
      </xdr:nvSpPr>
      <xdr:spPr>
        <a:xfrm>
          <a:off x="71120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3" name="Rounded Rectangle 3">
          <a:hlinkClick xmlns:r="http://schemas.openxmlformats.org/officeDocument/2006/relationships" r:id="rId1"/>
          <a:extLst>
            <a:ext uri="{FF2B5EF4-FFF2-40B4-BE49-F238E27FC236}">
              <a16:creationId xmlns:a16="http://schemas.microsoft.com/office/drawing/2014/main" id="{40E2053E-B434-4555-95D3-957451E028E3}"/>
            </a:ext>
          </a:extLst>
        </xdr:cNvPr>
        <xdr:cNvSpPr/>
      </xdr:nvSpPr>
      <xdr:spPr>
        <a:xfrm>
          <a:off x="79438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4" name="Rounded Rectangle 2">
          <a:hlinkClick xmlns:r="http://schemas.openxmlformats.org/officeDocument/2006/relationships" r:id="rId1"/>
          <a:extLst>
            <a:ext uri="{FF2B5EF4-FFF2-40B4-BE49-F238E27FC236}">
              <a16:creationId xmlns:a16="http://schemas.microsoft.com/office/drawing/2014/main" id="{6617204D-A97D-4D1F-B6A9-F9E7BB789603}"/>
            </a:ext>
          </a:extLst>
        </xdr:cNvPr>
        <xdr:cNvSpPr/>
      </xdr:nvSpPr>
      <xdr:spPr>
        <a:xfrm>
          <a:off x="80264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3" name="Rounded Rectangle 3">
          <a:hlinkClick xmlns:r="http://schemas.openxmlformats.org/officeDocument/2006/relationships" r:id="rId1"/>
          <a:extLst>
            <a:ext uri="{FF2B5EF4-FFF2-40B4-BE49-F238E27FC236}">
              <a16:creationId xmlns:a16="http://schemas.microsoft.com/office/drawing/2014/main" id="{3D47C614-1669-4089-BFF2-707725B72B06}"/>
            </a:ext>
          </a:extLst>
        </xdr:cNvPr>
        <xdr:cNvSpPr/>
      </xdr:nvSpPr>
      <xdr:spPr>
        <a:xfrm>
          <a:off x="76898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3" name="Rounded Rectangle 3">
          <a:hlinkClick xmlns:r="http://schemas.openxmlformats.org/officeDocument/2006/relationships" r:id="rId1"/>
          <a:extLst>
            <a:ext uri="{FF2B5EF4-FFF2-40B4-BE49-F238E27FC236}">
              <a16:creationId xmlns:a16="http://schemas.microsoft.com/office/drawing/2014/main" id="{01E14F59-B6AB-445B-8A8C-53B0C0FFD082}"/>
            </a:ext>
          </a:extLst>
        </xdr:cNvPr>
        <xdr:cNvSpPr/>
      </xdr:nvSpPr>
      <xdr:spPr>
        <a:xfrm>
          <a:off x="84328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4" name="Rounded Rectangle 2">
          <a:hlinkClick xmlns:r="http://schemas.openxmlformats.org/officeDocument/2006/relationships" r:id="rId1"/>
          <a:extLst>
            <a:ext uri="{FF2B5EF4-FFF2-40B4-BE49-F238E27FC236}">
              <a16:creationId xmlns:a16="http://schemas.microsoft.com/office/drawing/2014/main" id="{F110199B-5323-402E-A996-5E7BA5F130CC}"/>
            </a:ext>
          </a:extLst>
        </xdr:cNvPr>
        <xdr:cNvSpPr/>
      </xdr:nvSpPr>
      <xdr:spPr>
        <a:xfrm>
          <a:off x="102616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4" name="Rounded Rectangle 2">
          <a:hlinkClick xmlns:r="http://schemas.openxmlformats.org/officeDocument/2006/relationships" r:id="rId1"/>
          <a:extLst>
            <a:ext uri="{FF2B5EF4-FFF2-40B4-BE49-F238E27FC236}">
              <a16:creationId xmlns:a16="http://schemas.microsoft.com/office/drawing/2014/main" id="{58205D22-FF97-4DF8-8368-A37ACB997AD1}"/>
            </a:ext>
          </a:extLst>
        </xdr:cNvPr>
        <xdr:cNvSpPr/>
      </xdr:nvSpPr>
      <xdr:spPr>
        <a:xfrm>
          <a:off x="89408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C3F1537B-28F4-4D4F-9A9C-2D527CDC9CA9}"/>
            </a:ext>
          </a:extLst>
        </xdr:cNvPr>
        <xdr:cNvSpPr/>
      </xdr:nvSpPr>
      <xdr:spPr>
        <a:xfrm>
          <a:off x="97409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4" name="Rounded Rectangle 2">
          <a:hlinkClick xmlns:r="http://schemas.openxmlformats.org/officeDocument/2006/relationships" r:id="rId1"/>
          <a:extLst>
            <a:ext uri="{FF2B5EF4-FFF2-40B4-BE49-F238E27FC236}">
              <a16:creationId xmlns:a16="http://schemas.microsoft.com/office/drawing/2014/main" id="{05713621-7E67-4453-9770-0F8FFC77B021}"/>
            </a:ext>
          </a:extLst>
        </xdr:cNvPr>
        <xdr:cNvSpPr/>
      </xdr:nvSpPr>
      <xdr:spPr>
        <a:xfrm>
          <a:off x="87249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4" name="Rounded Rectangle 2">
          <a:hlinkClick xmlns:r="http://schemas.openxmlformats.org/officeDocument/2006/relationships" r:id="rId1"/>
          <a:extLst>
            <a:ext uri="{FF2B5EF4-FFF2-40B4-BE49-F238E27FC236}">
              <a16:creationId xmlns:a16="http://schemas.microsoft.com/office/drawing/2014/main" id="{864E3914-34D1-4A48-A48D-539098FE946C}"/>
            </a:ext>
          </a:extLst>
        </xdr:cNvPr>
        <xdr:cNvSpPr/>
      </xdr:nvSpPr>
      <xdr:spPr>
        <a:xfrm>
          <a:off x="86296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3</xdr:col>
      <xdr:colOff>0</xdr:colOff>
      <xdr:row>1</xdr:row>
      <xdr:rowOff>0</xdr:rowOff>
    </xdr:from>
    <xdr:to>
      <xdr:col>3</xdr:col>
      <xdr:colOff>809625</xdr:colOff>
      <xdr:row>2</xdr:row>
      <xdr:rowOff>31751</xdr:rowOff>
    </xdr:to>
    <xdr:sp macro="" textlink="">
      <xdr:nvSpPr>
        <xdr:cNvPr id="4" name="Rounded Rectangle 2">
          <a:hlinkClick xmlns:r="http://schemas.openxmlformats.org/officeDocument/2006/relationships" r:id="rId1"/>
          <a:extLst>
            <a:ext uri="{FF2B5EF4-FFF2-40B4-BE49-F238E27FC236}">
              <a16:creationId xmlns:a16="http://schemas.microsoft.com/office/drawing/2014/main" id="{D1E170DE-3C61-457D-BFDE-DD6910287202}"/>
            </a:ext>
          </a:extLst>
        </xdr:cNvPr>
        <xdr:cNvSpPr/>
      </xdr:nvSpPr>
      <xdr:spPr>
        <a:xfrm>
          <a:off x="77025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C5" sqref="C5"/>
    </sheetView>
  </sheetViews>
  <sheetFormatPr defaultRowHeight="12.75"/>
  <cols>
    <col min="1" max="1" width="8.375" customWidth="1"/>
    <col min="2" max="2" width="27.125" customWidth="1"/>
    <col min="3" max="6" width="14.125" customWidth="1"/>
    <col min="7" max="7" width="14.125" style="174" customWidth="1"/>
    <col min="8" max="11" width="14.125" customWidth="1"/>
  </cols>
  <sheetData>
    <row r="1" spans="1:11" s="27" customFormat="1" ht="20.25">
      <c r="A1" s="666" t="s">
        <v>301</v>
      </c>
      <c r="B1" s="667"/>
      <c r="C1" s="667"/>
      <c r="D1" s="668"/>
      <c r="E1" s="669"/>
      <c r="F1" s="667"/>
      <c r="G1" s="670"/>
      <c r="H1" s="667"/>
      <c r="I1" s="667"/>
      <c r="J1" s="667"/>
      <c r="K1" s="667"/>
    </row>
    <row r="2" spans="1:11" s="27" customFormat="1" ht="20.25">
      <c r="A2" s="666" t="str">
        <f>'RFPR cover'!C5</f>
        <v>SPMW</v>
      </c>
      <c r="B2" s="667"/>
      <c r="C2" s="667"/>
      <c r="D2" s="669"/>
      <c r="E2" s="669"/>
      <c r="F2" s="667"/>
      <c r="G2" s="670"/>
      <c r="H2" s="667"/>
      <c r="I2" s="667"/>
      <c r="J2" s="667"/>
      <c r="K2" s="667"/>
    </row>
    <row r="3" spans="1:11" s="27" customFormat="1" ht="20.25">
      <c r="A3" s="666">
        <f>'RFPR cover'!C7</f>
        <v>2022</v>
      </c>
      <c r="B3" s="667"/>
      <c r="C3" s="667"/>
      <c r="D3" s="669"/>
      <c r="E3" s="669"/>
      <c r="F3" s="667"/>
      <c r="G3" s="670"/>
      <c r="H3" s="667"/>
      <c r="I3" s="667"/>
      <c r="J3" s="667"/>
      <c r="K3" s="667"/>
    </row>
    <row r="4" spans="1:11" ht="14.25">
      <c r="A4" s="26"/>
      <c r="B4" s="26"/>
      <c r="C4" s="26"/>
      <c r="D4" s="26"/>
      <c r="E4" s="26"/>
      <c r="H4" s="10"/>
      <c r="I4" s="10"/>
      <c r="J4" s="10"/>
    </row>
    <row r="5" spans="1:11" ht="13.5" customHeight="1">
      <c r="A5" s="26"/>
      <c r="B5" s="60" t="s">
        <v>59</v>
      </c>
      <c r="C5" s="37" t="s">
        <v>43</v>
      </c>
      <c r="D5" s="279"/>
      <c r="E5" s="17"/>
      <c r="F5" s="11"/>
      <c r="G5" s="446" t="s">
        <v>0</v>
      </c>
      <c r="H5" s="10"/>
      <c r="I5" s="10"/>
      <c r="J5" s="10"/>
    </row>
    <row r="6" spans="1:11" ht="13.5" customHeight="1">
      <c r="A6" s="26"/>
      <c r="B6" s="60" t="s">
        <v>185</v>
      </c>
      <c r="C6" s="65" t="str">
        <f>INDEX(Data!$A$73:$A$100,MATCH($C$5,Data!$B$73:$B$100,0),0)&amp;"1"</f>
        <v>ED1</v>
      </c>
      <c r="D6" s="17"/>
      <c r="E6" s="17"/>
      <c r="F6" s="9"/>
      <c r="G6" s="446" t="s">
        <v>1</v>
      </c>
      <c r="H6" s="10"/>
      <c r="I6" s="10"/>
      <c r="J6" s="10"/>
    </row>
    <row r="7" spans="1:11" ht="25.5">
      <c r="A7" s="26"/>
      <c r="B7" s="61" t="s">
        <v>184</v>
      </c>
      <c r="C7" s="66">
        <v>2022</v>
      </c>
      <c r="D7" s="16"/>
      <c r="E7" s="17"/>
      <c r="F7" s="8"/>
      <c r="G7" s="447" t="s">
        <v>2</v>
      </c>
      <c r="H7" s="10"/>
      <c r="I7" s="10"/>
      <c r="J7" s="10"/>
    </row>
    <row r="8" spans="1:11" ht="14.25">
      <c r="A8" s="26"/>
      <c r="B8" s="60" t="s">
        <v>34</v>
      </c>
      <c r="C8" s="67"/>
      <c r="D8" s="17"/>
      <c r="E8" s="16"/>
      <c r="F8" s="7"/>
      <c r="G8" s="446" t="s">
        <v>3</v>
      </c>
      <c r="H8" s="10"/>
      <c r="I8" s="10"/>
      <c r="J8" s="10"/>
    </row>
    <row r="9" spans="1:11" ht="14.25">
      <c r="A9" s="26"/>
      <c r="B9" s="60" t="s">
        <v>35</v>
      </c>
      <c r="C9" s="68"/>
      <c r="D9" s="16"/>
      <c r="E9" s="16"/>
      <c r="F9" s="6"/>
      <c r="G9" s="446" t="s">
        <v>4</v>
      </c>
      <c r="H9" s="10"/>
      <c r="I9" s="10"/>
      <c r="J9" s="10"/>
    </row>
    <row r="10" spans="1:11" ht="14.25">
      <c r="A10" s="26"/>
      <c r="B10" s="60" t="s">
        <v>67</v>
      </c>
      <c r="C10" s="69">
        <f>SUMIF(Data!$B$72:$B$100,C5,Data!$C$72:$C$100)</f>
        <v>0.06</v>
      </c>
      <c r="D10" s="16"/>
      <c r="E10" s="16"/>
      <c r="F10" s="5"/>
      <c r="G10" s="446" t="s">
        <v>5</v>
      </c>
      <c r="H10" s="10"/>
      <c r="I10" s="10"/>
      <c r="J10" s="10"/>
    </row>
    <row r="11" spans="1:11" ht="14.25">
      <c r="A11" s="26"/>
      <c r="B11" s="60" t="s">
        <v>68</v>
      </c>
      <c r="C11" s="70">
        <f>SUMIF(Data!$B$72:$B$100,C5,Data!$D$72:$D$100)</f>
        <v>0.53500000000000003</v>
      </c>
      <c r="D11" s="17"/>
      <c r="E11" s="17"/>
      <c r="F11" s="4"/>
      <c r="G11" s="446" t="s">
        <v>6</v>
      </c>
      <c r="H11" s="10"/>
      <c r="I11" s="10"/>
      <c r="J11" s="10"/>
    </row>
    <row r="12" spans="1:11">
      <c r="A12" s="26"/>
      <c r="B12" s="60" t="s">
        <v>112</v>
      </c>
      <c r="C12" s="69">
        <f>SUMIF(Data!$B$72:$B$100,C5,Data!$E$72:$E$100)</f>
        <v>0.65</v>
      </c>
      <c r="D12" s="16"/>
      <c r="E12" s="16"/>
      <c r="F12" s="16"/>
      <c r="G12" s="448"/>
    </row>
    <row r="13" spans="1:11">
      <c r="A13" s="26"/>
      <c r="B13" s="60" t="s">
        <v>502</v>
      </c>
      <c r="C13" s="65">
        <f>INDEX(Data!$G$73:$G$100,MATCH($C$5,Data!$B$73:$B$100,0),0)</f>
        <v>2016</v>
      </c>
      <c r="D13" s="16"/>
      <c r="E13" s="16"/>
      <c r="F13" s="59" t="s">
        <v>187</v>
      </c>
    </row>
    <row r="14" spans="1:11">
      <c r="A14" s="26"/>
      <c r="B14" s="62" t="s">
        <v>181</v>
      </c>
      <c r="C14" s="65" t="str">
        <f>INDEX(Data!$H$73:$H$100,MATCH($C$5,Data!$B$73:$B$100,0),0)</f>
        <v>£m 12/13</v>
      </c>
      <c r="D14" s="16"/>
      <c r="E14" s="16"/>
      <c r="F14" s="72">
        <v>0.1</v>
      </c>
      <c r="G14" s="448"/>
    </row>
    <row r="15" spans="1:11">
      <c r="A15" s="26"/>
      <c r="B15" s="16"/>
      <c r="C15" s="16"/>
      <c r="D15" s="16"/>
      <c r="E15" s="16"/>
      <c r="F15" s="16"/>
      <c r="G15" s="448"/>
    </row>
    <row r="85" spans="1:1">
      <c r="A85" s="165"/>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0" zoomScaleNormal="80" workbookViewId="0">
      <pane ySplit="4" topLeftCell="A17" activePane="bottomLeft" state="frozen"/>
      <selection activeCell="B75" sqref="A1:XFD1048576"/>
      <selection pane="bottomLeft" activeCell="B79" sqref="B79"/>
    </sheetView>
  </sheetViews>
  <sheetFormatPr defaultRowHeight="12.75"/>
  <cols>
    <col min="1" max="1" width="8.375" customWidth="1"/>
    <col min="2" max="2" width="35.125" customWidth="1"/>
    <col min="8" max="8" width="10.125" bestFit="1" customWidth="1"/>
    <col min="14" max="14" width="9" customWidth="1"/>
  </cols>
  <sheetData>
    <row r="1" spans="1:14" ht="20.25">
      <c r="A1" s="671" t="s">
        <v>367</v>
      </c>
      <c r="B1" s="672"/>
      <c r="C1" s="672"/>
      <c r="D1" s="672"/>
      <c r="E1" s="672"/>
      <c r="F1" s="672"/>
      <c r="G1" s="672"/>
      <c r="H1" s="672"/>
      <c r="I1" s="672"/>
      <c r="J1" s="672"/>
      <c r="K1" s="672"/>
      <c r="L1" s="672"/>
      <c r="M1" s="672"/>
      <c r="N1" s="673"/>
    </row>
    <row r="2" spans="1:14" ht="20.25">
      <c r="A2" s="674" t="str">
        <f>'RFPR cover'!C5</f>
        <v>SPMW</v>
      </c>
      <c r="B2" s="675"/>
      <c r="C2" s="675"/>
      <c r="D2" s="675"/>
      <c r="E2" s="675"/>
      <c r="F2" s="675"/>
      <c r="G2" s="675"/>
      <c r="H2" s="675"/>
      <c r="I2" s="675"/>
      <c r="J2" s="675"/>
      <c r="K2" s="675"/>
      <c r="L2" s="675"/>
      <c r="M2" s="675"/>
      <c r="N2" s="676"/>
    </row>
    <row r="3" spans="1:14" ht="20.25">
      <c r="A3" s="677">
        <f>'RFPR cover'!C7</f>
        <v>2022</v>
      </c>
      <c r="B3" s="678"/>
      <c r="C3" s="678"/>
      <c r="D3" s="678"/>
      <c r="E3" s="678"/>
      <c r="F3" s="678"/>
      <c r="G3" s="678"/>
      <c r="H3" s="678"/>
      <c r="I3" s="678"/>
      <c r="J3" s="678"/>
      <c r="K3" s="678"/>
      <c r="L3" s="678"/>
      <c r="M3" s="678"/>
      <c r="N3" s="679"/>
    </row>
    <row r="6" spans="1:14">
      <c r="A6" s="26"/>
      <c r="B6" s="19">
        <v>2018</v>
      </c>
      <c r="C6" s="18" t="s">
        <v>60</v>
      </c>
      <c r="D6" s="16"/>
      <c r="E6" s="16"/>
      <c r="F6" s="635"/>
      <c r="G6" s="16"/>
    </row>
    <row r="7" spans="1:14">
      <c r="A7" s="26"/>
      <c r="B7" s="19">
        <v>2019</v>
      </c>
      <c r="C7" s="18" t="s">
        <v>61</v>
      </c>
      <c r="D7" s="16"/>
      <c r="E7" s="16"/>
      <c r="F7" s="16"/>
      <c r="G7" s="16"/>
    </row>
    <row r="8" spans="1:14">
      <c r="A8" s="26"/>
      <c r="B8" s="19">
        <v>2020</v>
      </c>
      <c r="C8" s="18" t="s">
        <v>62</v>
      </c>
      <c r="D8" s="17"/>
      <c r="E8" s="17"/>
      <c r="F8" s="17"/>
      <c r="G8" s="17"/>
    </row>
    <row r="9" spans="1:14">
      <c r="A9" s="26"/>
      <c r="B9" s="19">
        <v>2021</v>
      </c>
      <c r="C9" s="18" t="s">
        <v>63</v>
      </c>
      <c r="D9" s="16"/>
      <c r="E9" s="16"/>
      <c r="F9" s="16"/>
      <c r="G9" s="16"/>
    </row>
    <row r="10" spans="1:14">
      <c r="A10" s="26"/>
      <c r="B10" s="19">
        <v>2022</v>
      </c>
      <c r="C10" s="18" t="s">
        <v>64</v>
      </c>
      <c r="D10" s="16"/>
      <c r="E10" s="16"/>
      <c r="F10" s="16"/>
    </row>
    <row r="11" spans="1:14">
      <c r="A11" s="26"/>
      <c r="B11" s="19">
        <v>2023</v>
      </c>
      <c r="C11" s="18" t="s">
        <v>65</v>
      </c>
      <c r="D11" s="17"/>
      <c r="E11" s="17"/>
      <c r="F11" s="17"/>
    </row>
    <row r="12" spans="1:14">
      <c r="A12" s="26"/>
      <c r="B12" s="16"/>
      <c r="C12" s="16"/>
      <c r="D12" s="16"/>
      <c r="E12" s="16"/>
      <c r="F12" s="16"/>
    </row>
    <row r="13" spans="1:14" ht="75" customHeight="1">
      <c r="A13" s="26"/>
      <c r="B13" s="449" t="s">
        <v>36</v>
      </c>
      <c r="C13" s="450" t="s">
        <v>37</v>
      </c>
      <c r="D13" s="450" t="s">
        <v>188</v>
      </c>
      <c r="E13" s="450" t="s">
        <v>38</v>
      </c>
      <c r="F13" s="450" t="s">
        <v>39</v>
      </c>
      <c r="G13" s="451" t="s">
        <v>314</v>
      </c>
    </row>
    <row r="14" spans="1:14">
      <c r="A14" s="26"/>
      <c r="B14" s="124" t="s">
        <v>71</v>
      </c>
      <c r="C14" s="131">
        <v>2010</v>
      </c>
      <c r="D14" s="125" t="str">
        <f>IF(VALUE(C14)&lt;='RFPR cover'!$C$7,"Actual","Forecast")</f>
        <v>Actual</v>
      </c>
      <c r="E14" s="824">
        <v>215.767</v>
      </c>
      <c r="F14" s="408">
        <v>221.75</v>
      </c>
      <c r="G14" s="126">
        <v>0.28000000000000003</v>
      </c>
      <c r="H14" s="636"/>
      <c r="J14" s="637"/>
    </row>
    <row r="15" spans="1:14">
      <c r="A15" s="26"/>
      <c r="B15" s="127" t="s">
        <v>72</v>
      </c>
      <c r="C15" s="132">
        <v>2011</v>
      </c>
      <c r="D15" s="128" t="str">
        <f>IF(VALUE(C15)&lt;='RFPR cover'!$C$7,"Actual","Forecast")</f>
        <v>Actual</v>
      </c>
      <c r="E15" s="825">
        <v>226.47499999999999</v>
      </c>
      <c r="F15" s="409">
        <v>233.45</v>
      </c>
      <c r="G15" s="129">
        <v>0.28000000000000003</v>
      </c>
      <c r="H15" s="636"/>
      <c r="J15" s="637"/>
    </row>
    <row r="16" spans="1:14" ht="14.25" customHeight="1">
      <c r="A16" s="26"/>
      <c r="B16" s="127" t="s">
        <v>73</v>
      </c>
      <c r="C16" s="132">
        <v>2012</v>
      </c>
      <c r="D16" s="128" t="str">
        <f>IF(VALUE(C16)&lt;='RFPR cover'!$C$7,"Actual","Forecast")</f>
        <v>Actual</v>
      </c>
      <c r="E16" s="825">
        <v>237.34200000000001</v>
      </c>
      <c r="F16" s="409">
        <v>241.65</v>
      </c>
      <c r="G16" s="129">
        <v>0.26</v>
      </c>
      <c r="H16" s="636"/>
      <c r="J16" s="637"/>
    </row>
    <row r="17" spans="2:10">
      <c r="B17" s="127" t="s">
        <v>74</v>
      </c>
      <c r="C17" s="132">
        <v>2013</v>
      </c>
      <c r="D17" s="128" t="str">
        <f>IF(VALUE(C17)&lt;='RFPR cover'!$C$7,"Actual","Forecast")</f>
        <v>Actual</v>
      </c>
      <c r="E17" s="825">
        <v>244.67500000000001</v>
      </c>
      <c r="F17" s="409">
        <v>249.1</v>
      </c>
      <c r="G17" s="129">
        <v>0.24</v>
      </c>
      <c r="H17" s="636"/>
      <c r="J17" s="637"/>
    </row>
    <row r="18" spans="2:10">
      <c r="B18" s="127" t="s">
        <v>75</v>
      </c>
      <c r="C18" s="132">
        <v>2014</v>
      </c>
      <c r="D18" s="128" t="str">
        <f>IF(VALUE(C18)&lt;='RFPR cover'!$C$7,"Actual","Forecast")</f>
        <v>Actual</v>
      </c>
      <c r="E18" s="825">
        <v>251.733</v>
      </c>
      <c r="F18" s="409">
        <v>255.25</v>
      </c>
      <c r="G18" s="129">
        <v>0.23</v>
      </c>
      <c r="H18" s="636"/>
      <c r="I18" s="426"/>
      <c r="J18" s="637"/>
    </row>
    <row r="19" spans="2:10">
      <c r="B19" s="127" t="s">
        <v>76</v>
      </c>
      <c r="C19" s="132">
        <v>2015</v>
      </c>
      <c r="D19" s="128" t="str">
        <f>IF(VALUE(C19)&lt;='RFPR cover'!$C$7,"Actual","Forecast")</f>
        <v>Actual</v>
      </c>
      <c r="E19" s="825">
        <v>256.66699999999997</v>
      </c>
      <c r="F19" s="409">
        <v>257.55</v>
      </c>
      <c r="G19" s="129">
        <v>0.21</v>
      </c>
      <c r="H19" s="636"/>
      <c r="I19" s="426"/>
      <c r="J19" s="637"/>
    </row>
    <row r="20" spans="2:10">
      <c r="B20" s="127" t="s">
        <v>77</v>
      </c>
      <c r="C20" s="132">
        <v>2016</v>
      </c>
      <c r="D20" s="128" t="str">
        <f>IF(VALUE(C20)&lt;='RFPR cover'!$C$7,"Actual","Forecast")</f>
        <v>Actual</v>
      </c>
      <c r="E20" s="825">
        <v>259.43299999999999</v>
      </c>
      <c r="F20" s="409">
        <v>261.25</v>
      </c>
      <c r="G20" s="129">
        <v>0.2</v>
      </c>
      <c r="H20" s="636"/>
      <c r="I20" s="426"/>
      <c r="J20" s="637"/>
    </row>
    <row r="21" spans="2:10">
      <c r="B21" s="127" t="s">
        <v>78</v>
      </c>
      <c r="C21" s="132">
        <v>2017</v>
      </c>
      <c r="D21" s="128" t="str">
        <f>IF(VALUE(C21)&lt;='RFPR cover'!$C$7,"Actual","Forecast")</f>
        <v>Actual</v>
      </c>
      <c r="E21" s="825">
        <v>264.99200000000002</v>
      </c>
      <c r="F21" s="409">
        <v>269.95000000000005</v>
      </c>
      <c r="G21" s="129">
        <v>0.2</v>
      </c>
      <c r="H21" s="636"/>
      <c r="I21" s="426"/>
      <c r="J21" s="637"/>
    </row>
    <row r="22" spans="2:10">
      <c r="B22" s="127" t="s">
        <v>60</v>
      </c>
      <c r="C22" s="132">
        <v>2018</v>
      </c>
      <c r="D22" s="128" t="str">
        <f>IF(VALUE(C22)&lt;='RFPR cover'!$C$7,"Actual","Forecast")</f>
        <v>Actual</v>
      </c>
      <c r="E22" s="825">
        <v>274.90800000000002</v>
      </c>
      <c r="F22" s="409">
        <v>279</v>
      </c>
      <c r="G22" s="129">
        <v>0.19</v>
      </c>
      <c r="H22" s="636"/>
      <c r="I22" s="426"/>
      <c r="J22" s="637"/>
    </row>
    <row r="23" spans="2:10">
      <c r="B23" s="411" t="s">
        <v>61</v>
      </c>
      <c r="C23" s="412">
        <v>2019</v>
      </c>
      <c r="D23" s="128" t="str">
        <f>IF(VALUE(C23)&lt;='RFPR cover'!$C$7,"Actual","Forecast")</f>
        <v>Actual</v>
      </c>
      <c r="E23" s="825">
        <v>283.30799999999999</v>
      </c>
      <c r="F23" s="409">
        <v>286.64999999999998</v>
      </c>
      <c r="G23" s="129">
        <v>0.19</v>
      </c>
      <c r="H23" s="636"/>
      <c r="J23" s="637"/>
    </row>
    <row r="24" spans="2:10">
      <c r="B24" s="411" t="s">
        <v>62</v>
      </c>
      <c r="C24" s="412">
        <v>2020</v>
      </c>
      <c r="D24" s="128" t="str">
        <f>IF(VALUE(C24)&lt;='RFPR cover'!$C$7,"Actual","Forecast")</f>
        <v>Actual</v>
      </c>
      <c r="E24" s="825">
        <v>290.642</v>
      </c>
      <c r="F24" s="825">
        <v>292.60000000000002</v>
      </c>
      <c r="G24" s="129">
        <v>0.19</v>
      </c>
    </row>
    <row r="25" spans="2:10">
      <c r="B25" s="411" t="s">
        <v>63</v>
      </c>
      <c r="C25" s="412">
        <v>2021</v>
      </c>
      <c r="D25" s="128" t="str">
        <f>IF(VALUE(C25)&lt;='RFPR cover'!$C$7,"Actual","Forecast")</f>
        <v>Actual</v>
      </c>
      <c r="E25" s="825">
        <v>294.16666666666669</v>
      </c>
      <c r="F25" s="825">
        <v>299</v>
      </c>
      <c r="G25" s="129">
        <v>0.19</v>
      </c>
      <c r="J25" s="637"/>
    </row>
    <row r="26" spans="2:10">
      <c r="B26" s="411" t="s">
        <v>64</v>
      </c>
      <c r="C26" s="412">
        <v>2022</v>
      </c>
      <c r="D26" s="128" t="str">
        <f>IF(VALUE(C26)&lt;='RFPR cover'!$C$7,"Actual","Forecast")</f>
        <v>Actual</v>
      </c>
      <c r="E26" s="825">
        <v>311.1583333333333</v>
      </c>
      <c r="F26" s="825">
        <v>329.05</v>
      </c>
      <c r="G26" s="129">
        <v>0.19</v>
      </c>
      <c r="H26" s="826"/>
      <c r="J26" s="637"/>
    </row>
    <row r="27" spans="2:10">
      <c r="B27" s="411" t="s">
        <v>65</v>
      </c>
      <c r="C27" s="412">
        <v>2023</v>
      </c>
      <c r="D27" s="128" t="str">
        <f>IF(VALUE(C27)&lt;='RFPR cover'!$C$7,"Actual","Forecast")</f>
        <v>Forecast</v>
      </c>
      <c r="E27" s="410">
        <f>E26*(1+INDEX($D$43:$J$43,0,MATCH($C27,$D$42:$J$42,0)))</f>
        <v>336.98447499999997</v>
      </c>
      <c r="F27" s="410">
        <f>F26*(1+INDEX($D$43:$J$43,0,MATCH($C27,$D$42:$J$42,0)))</f>
        <v>356.36115000000001</v>
      </c>
      <c r="G27" s="129">
        <v>0.19</v>
      </c>
      <c r="H27" s="636"/>
      <c r="J27" s="637"/>
    </row>
    <row r="28" spans="2:10">
      <c r="B28" s="411" t="s">
        <v>201</v>
      </c>
      <c r="C28" s="412">
        <v>2024</v>
      </c>
      <c r="D28" s="128" t="str">
        <f>IF(VALUE(C28)&lt;='RFPR cover'!$C$7,"Actual","Forecast")</f>
        <v>Forecast</v>
      </c>
      <c r="E28" s="304"/>
      <c r="F28" s="304"/>
      <c r="G28" s="129">
        <v>0.19</v>
      </c>
    </row>
    <row r="29" spans="2:10">
      <c r="B29" s="411" t="s">
        <v>202</v>
      </c>
      <c r="C29" s="412">
        <v>2025</v>
      </c>
      <c r="D29" s="128" t="str">
        <f>IF(VALUE(C29)&lt;='RFPR cover'!$C$7,"Actual","Forecast")</f>
        <v>Forecast</v>
      </c>
      <c r="E29" s="304"/>
      <c r="F29" s="304"/>
      <c r="G29" s="129">
        <v>0.19</v>
      </c>
    </row>
    <row r="30" spans="2:10">
      <c r="B30" s="413" t="s">
        <v>203</v>
      </c>
      <c r="C30" s="414">
        <v>2026</v>
      </c>
      <c r="D30" s="130" t="str">
        <f>IF(VALUE(C30)&lt;='RFPR cover'!$C$7,"Actual","Forecast")</f>
        <v>Forecast</v>
      </c>
      <c r="E30" s="303"/>
      <c r="F30" s="303"/>
      <c r="G30" s="129">
        <v>0.19</v>
      </c>
    </row>
    <row r="31" spans="2:10">
      <c r="B31" s="71"/>
      <c r="C31" s="49"/>
      <c r="D31" s="49"/>
      <c r="E31" s="49"/>
      <c r="F31" s="49"/>
    </row>
    <row r="32" spans="2:10">
      <c r="B32" s="71"/>
      <c r="C32" s="283" t="str">
        <f>IF(C33&lt;='RFPR cover'!$C$7,"Actuals","Forecast")</f>
        <v>Actuals</v>
      </c>
      <c r="D32" s="284" t="str">
        <f>IF(D33&lt;='RFPR cover'!$C$7,"Actuals","Forecast")</f>
        <v>Actuals</v>
      </c>
      <c r="E32" s="284" t="str">
        <f>IF(E33&lt;='RFPR cover'!$C$7,"Actuals","Forecast")</f>
        <v>Actuals</v>
      </c>
      <c r="F32" s="284" t="str">
        <f>IF(F33&lt;='RFPR cover'!$C$7,"Actuals","Forecast")</f>
        <v>Actuals</v>
      </c>
      <c r="G32" s="284" t="str">
        <f>IF(G33&lt;='RFPR cover'!$C$7,"Actuals","Forecast")</f>
        <v>Actuals</v>
      </c>
      <c r="H32" s="284" t="str">
        <f>IF(H33&lt;='RFPR cover'!$C$7,"Actuals","Forecast")</f>
        <v>Actuals</v>
      </c>
      <c r="I32" s="284" t="str">
        <f>IF(I33&lt;='RFPR cover'!$C$7,"Actuals","Forecast")</f>
        <v>Actuals</v>
      </c>
      <c r="J32" s="285" t="str">
        <f>IF(J33&lt;='RFPR cover'!$C$7,"Actuals","Forecast")</f>
        <v>Forecast</v>
      </c>
    </row>
    <row r="33" spans="2:14" ht="15.75" customHeight="1">
      <c r="B33" s="230"/>
      <c r="C33" s="73">
        <f>'RFPR cover'!$C$13</f>
        <v>2016</v>
      </c>
      <c r="D33" s="74">
        <f t="shared" ref="D33:J33" si="0">C33+1</f>
        <v>2017</v>
      </c>
      <c r="E33" s="74">
        <f t="shared" si="0"/>
        <v>2018</v>
      </c>
      <c r="F33" s="74">
        <f t="shared" si="0"/>
        <v>2019</v>
      </c>
      <c r="G33" s="74">
        <f t="shared" si="0"/>
        <v>2020</v>
      </c>
      <c r="H33" s="74">
        <f t="shared" si="0"/>
        <v>2021</v>
      </c>
      <c r="I33" s="74">
        <f t="shared" si="0"/>
        <v>2022</v>
      </c>
      <c r="J33" s="256">
        <f t="shared" si="0"/>
        <v>2023</v>
      </c>
    </row>
    <row r="34" spans="2:14" ht="15.75" customHeight="1">
      <c r="B34" s="406" t="s">
        <v>368</v>
      </c>
      <c r="C34" s="404">
        <f>INDEX(Data!$E$14:$E$30,MATCH(C$33,Data!$C$14:$C$30,0),0)/IF('RFPR cover'!$C$6="ED1",Data!$E$17,Data!$E$14)</f>
        <v>1.0603167467048125</v>
      </c>
      <c r="D34" s="401">
        <f>INDEX(Data!$E$14:$E$30,MATCH(D$33,Data!$C$14:$C$30,0),0)/IF('RFPR cover'!$C$6="ED1",Data!$E$17,Data!$E$14)</f>
        <v>1.0830366813119445</v>
      </c>
      <c r="E34" s="401">
        <f>INDEX(Data!$E$14:$E$30,MATCH(E$33,Data!$C$14:$C$30,0),0)/IF('RFPR cover'!$C$6="ED1",Data!$E$17,Data!$E$14)</f>
        <v>1.1235639113109226</v>
      </c>
      <c r="F34" s="401">
        <f>INDEX(Data!$E$14:$E$30,MATCH(F$33,Data!$C$14:$C$30,0),0)/IF('RFPR cover'!$C$6="ED1",Data!$E$17,Data!$E$14)</f>
        <v>1.1578951670583426</v>
      </c>
      <c r="G34" s="401">
        <f>INDEX(Data!$E$14:$E$30,MATCH(G$33,Data!$C$14:$C$30,0),0)/IF('RFPR cover'!$C$6="ED1",Data!$E$17,Data!$E$14)</f>
        <v>1.1878696229692449</v>
      </c>
      <c r="H34" s="401">
        <f>INDEX(Data!$E$14:$E$30,MATCH(H$33,Data!$C$14:$C$30,0),0)/IF('RFPR cover'!$C$6="ED1",Data!$E$17,Data!$E$14)</f>
        <v>1.202275126868976</v>
      </c>
      <c r="I34" s="402">
        <f>INDEX(Data!$E$14:$E$30,MATCH(I$33,Data!$C$14:$C$30,0),0)/IF('RFPR cover'!$C$6="ED1",Data!$E$17,Data!$E$14)</f>
        <v>1.2717209904294811</v>
      </c>
      <c r="J34" s="403">
        <f>INDEX(Data!$E$14:$E$30,MATCH(J$33,Data!$C$14:$C$30,0),0)/IF('RFPR cover'!$C$6="ED1",Data!$E$17,Data!$E$14)</f>
        <v>1.3772738326351281</v>
      </c>
    </row>
    <row r="35" spans="2:14" ht="15.75" customHeight="1">
      <c r="B35" s="407" t="s">
        <v>39</v>
      </c>
      <c r="C35" s="405">
        <f>INDEX(Data!$F$14:$F$30,MATCH(C$33,Data!$C$14:$C$30,0),0)/IF('RFPR cover'!$C$6="ED1",Data!$E$17,Data!$E$14)</f>
        <v>1.0677429242873198</v>
      </c>
      <c r="D35" s="405">
        <f>INDEX(Data!$F$14:$F$30,MATCH(D$33,Data!$C$14:$C$30,0),0)/IF('RFPR cover'!$C$6="ED1",Data!$E$17,Data!$E$14)</f>
        <v>1.1033002963114336</v>
      </c>
      <c r="E35" s="405">
        <f>INDEX(Data!$F$14:$F$30,MATCH(E$33,Data!$C$14:$C$30,0),0)/IF('RFPR cover'!$C$6="ED1",Data!$E$17,Data!$E$14)</f>
        <v>1.1402881373250229</v>
      </c>
      <c r="F35" s="405">
        <f>INDEX(Data!$F$14:$F$30,MATCH(F$33,Data!$C$14:$C$30,0),0)/IF('RFPR cover'!$C$6="ED1",Data!$E$17,Data!$E$14)</f>
        <v>1.171554102380709</v>
      </c>
      <c r="G35" s="405">
        <f>INDEX(Data!$F$14:$F$30,MATCH(G$33,Data!$C$14:$C$30,0),0)/IF('RFPR cover'!$C$6="ED1",Data!$E$17,Data!$E$14)</f>
        <v>1.1958720752017984</v>
      </c>
      <c r="H35" s="405">
        <f>INDEX(Data!$F$14:$F$30,MATCH(H$33,Data!$C$14:$C$30,0),0)/IF('RFPR cover'!$C$6="ED1",Data!$E$17,Data!$E$14)</f>
        <v>1.2220292224379279</v>
      </c>
      <c r="I35" s="405">
        <f>INDEX(Data!$F$14:$F$30,MATCH(I$33,Data!$C$14:$C$30,0),0)/IF('RFPR cover'!$C$6="ED1",Data!$E$17,Data!$E$14)</f>
        <v>1.3448452028200675</v>
      </c>
      <c r="J35" s="405">
        <f>INDEX(Data!$F$14:$F$30,MATCH(J$33,Data!$C$14:$C$30,0),0)/IF('RFPR cover'!$C$6="ED1",Data!$E$17,Data!$E$14)</f>
        <v>1.4564673546541329</v>
      </c>
    </row>
    <row r="36" spans="2:14">
      <c r="B36" s="407" t="s">
        <v>498</v>
      </c>
      <c r="C36" s="405">
        <f>INDEX(Data!$E$14:$E$30,MATCH(C$33,Data!$C$14:$C$30,0))/INDEX(Data!$E$14:$E$30,MATCH(C$33-1,Data!$C$14:$C$30,0))</f>
        <v>1.0107766093810269</v>
      </c>
      <c r="D36" s="405">
        <f>INDEX(Data!$E$14:$E$30,MATCH(D$33,Data!$C$14:$C$30,0))/INDEX(Data!$E$14:$E$30,MATCH(D$33-1,Data!$C$14:$C$30,0))</f>
        <v>1.0214274976583551</v>
      </c>
      <c r="E36" s="405">
        <f>INDEX(Data!$E$14:$E$30,MATCH(E$33,Data!$C$14:$C$30,0))/INDEX(Data!$E$14:$E$30,MATCH(E$33-1,Data!$C$14:$C$30,0))</f>
        <v>1.0374199975848328</v>
      </c>
      <c r="F36" s="405">
        <f>INDEX(Data!$E$14:$E$30,MATCH(F$33,Data!$C$14:$C$30,0))/INDEX(Data!$E$14:$E$30,MATCH(F$33-1,Data!$C$14:$C$30,0))</f>
        <v>1.0305556768082411</v>
      </c>
      <c r="G36" s="405">
        <f>INDEX(Data!$E$14:$E$30,MATCH(G$33,Data!$C$14:$C$30,0))/INDEX(Data!$E$14:$E$30,MATCH(G$33-1,Data!$C$14:$C$30,0))</f>
        <v>1.0258870204865376</v>
      </c>
      <c r="H36" s="405">
        <f>INDEX(Data!$E$14:$E$30,MATCH(H$33,Data!$C$14:$C$30,0))/INDEX(Data!$E$14:$E$30,MATCH(H$33-1,Data!$C$14:$C$30,0))</f>
        <v>1.0121271759300676</v>
      </c>
      <c r="I36" s="405">
        <f>INDEX(Data!$E$14:$E$30,MATCH(I$33,Data!$C$14:$C$30,0))/INDEX(Data!$E$14:$E$30,MATCH(I$33-1,Data!$C$14:$C$30,0))</f>
        <v>1.0577620396600564</v>
      </c>
      <c r="J36" s="405">
        <f>INDEX(Data!$E$14:$E$30,MATCH(J$33,Data!$C$14:$C$30,0))/INDEX(Data!$E$14:$E$30,MATCH(J$33-1,Data!$C$14:$C$30,0))</f>
        <v>1.083</v>
      </c>
    </row>
    <row r="37" spans="2:14" ht="15.75" customHeight="1">
      <c r="B37" s="13" t="s">
        <v>269</v>
      </c>
      <c r="F37" s="426"/>
    </row>
    <row r="38" spans="2:14">
      <c r="C38" s="421" t="s">
        <v>270</v>
      </c>
      <c r="D38" s="99">
        <v>2017</v>
      </c>
      <c r="E38" s="100">
        <f t="shared" ref="E38:J38" si="1">D38+1</f>
        <v>2018</v>
      </c>
      <c r="F38" s="100">
        <f t="shared" si="1"/>
        <v>2019</v>
      </c>
      <c r="G38" s="100">
        <f t="shared" si="1"/>
        <v>2020</v>
      </c>
      <c r="H38" s="100">
        <f t="shared" si="1"/>
        <v>2021</v>
      </c>
      <c r="I38" s="100">
        <f t="shared" si="1"/>
        <v>2022</v>
      </c>
      <c r="J38" s="157">
        <f t="shared" si="1"/>
        <v>2023</v>
      </c>
      <c r="K38" s="954" t="s">
        <v>378</v>
      </c>
      <c r="L38" s="954"/>
      <c r="M38" s="954"/>
    </row>
    <row r="39" spans="2:14">
      <c r="B39" t="s">
        <v>379</v>
      </c>
      <c r="C39" s="161"/>
      <c r="D39" s="588"/>
      <c r="E39" s="588"/>
      <c r="F39" s="588"/>
      <c r="G39" s="588"/>
      <c r="H39" s="588"/>
      <c r="I39" s="589">
        <v>9.0999999999999998E-2</v>
      </c>
      <c r="J39" s="590">
        <v>5.8999999999999997E-2</v>
      </c>
      <c r="K39" s="955" t="s">
        <v>581</v>
      </c>
      <c r="L39" s="955"/>
      <c r="M39" s="955"/>
      <c r="N39" s="826"/>
    </row>
    <row r="41" spans="2:14">
      <c r="B41" s="13" t="s">
        <v>271</v>
      </c>
    </row>
    <row r="42" spans="2:14">
      <c r="C42" s="420" t="s">
        <v>272</v>
      </c>
      <c r="D42" s="99">
        <v>2017</v>
      </c>
      <c r="E42" s="100">
        <f t="shared" ref="E42:J42" si="2">D42+1</f>
        <v>2018</v>
      </c>
      <c r="F42" s="100">
        <f t="shared" si="2"/>
        <v>2019</v>
      </c>
      <c r="G42" s="100">
        <f t="shared" si="2"/>
        <v>2020</v>
      </c>
      <c r="H42" s="100">
        <f t="shared" si="2"/>
        <v>2021</v>
      </c>
      <c r="I42" s="100">
        <f t="shared" si="2"/>
        <v>2022</v>
      </c>
      <c r="J42" s="157">
        <f t="shared" si="2"/>
        <v>2023</v>
      </c>
    </row>
    <row r="43" spans="2:14">
      <c r="B43" t="s">
        <v>273</v>
      </c>
      <c r="D43" s="468"/>
      <c r="E43" s="469"/>
      <c r="F43" s="469"/>
      <c r="G43" s="469"/>
      <c r="H43" s="469"/>
      <c r="I43" s="469"/>
      <c r="J43" s="591">
        <f>(I39*0.75)+(J39*0.25)</f>
        <v>8.3000000000000004E-2</v>
      </c>
    </row>
    <row r="45" spans="2:14">
      <c r="B45" s="255" t="str">
        <f>"Selected Capitalisation rates for "&amp;'RFPR cover'!C5</f>
        <v>Selected Capitalisation rates for SPMW</v>
      </c>
      <c r="C45" s="216"/>
      <c r="D45" s="216"/>
      <c r="E45" s="216"/>
      <c r="F45" s="216"/>
      <c r="G45" s="216"/>
      <c r="H45" s="216"/>
      <c r="I45" s="216"/>
      <c r="J45" s="216"/>
      <c r="K45" s="216"/>
      <c r="L45" s="216"/>
      <c r="M45" s="225"/>
    </row>
    <row r="46" spans="2:14">
      <c r="B46" s="162"/>
      <c r="C46" s="35"/>
      <c r="D46" s="35"/>
      <c r="E46" s="35"/>
      <c r="F46" s="35"/>
      <c r="G46" s="35"/>
      <c r="H46" s="35"/>
      <c r="I46" s="35"/>
      <c r="J46" s="35"/>
      <c r="K46" s="35"/>
      <c r="L46" s="35"/>
      <c r="M46" s="163"/>
    </row>
    <row r="47" spans="2:14">
      <c r="B47" s="162"/>
      <c r="C47" s="254" t="s">
        <v>247</v>
      </c>
      <c r="D47" s="35"/>
      <c r="E47" s="35"/>
      <c r="F47" s="35"/>
      <c r="G47" s="35"/>
      <c r="H47" s="35"/>
      <c r="I47" s="35"/>
      <c r="J47" s="35"/>
      <c r="K47" s="35"/>
      <c r="L47" s="35"/>
      <c r="M47" s="163"/>
    </row>
    <row r="48" spans="2:14">
      <c r="B48" s="257" t="str">
        <f>INDEX($G$54:$G$57,MATCH(LEFT('RFPR cover'!$C$6,2),Data!$E$54:$E$57,0),0)</f>
        <v>Totex</v>
      </c>
      <c r="C48" s="253">
        <f>INDEX($F$73:$F$100,MATCH('RFPR cover'!$C$5,Data!$B$73:$B$100,0),0)</f>
        <v>0.8</v>
      </c>
      <c r="D48" s="35"/>
      <c r="E48" s="35"/>
      <c r="F48" s="35"/>
      <c r="G48" s="35"/>
      <c r="H48" s="35"/>
      <c r="I48" s="35"/>
      <c r="J48" s="35"/>
      <c r="K48" s="35"/>
      <c r="L48" s="35"/>
      <c r="M48" s="163"/>
    </row>
    <row r="49" spans="2:20">
      <c r="B49" s="258"/>
      <c r="C49" s="35"/>
      <c r="D49" s="35"/>
      <c r="E49" s="35"/>
      <c r="F49" s="35"/>
      <c r="G49" s="35"/>
      <c r="H49" s="35"/>
      <c r="I49" s="35"/>
      <c r="J49" s="35"/>
      <c r="K49" s="35"/>
      <c r="L49" s="35"/>
      <c r="M49" s="163"/>
    </row>
    <row r="50" spans="2:20">
      <c r="B50" s="258"/>
      <c r="C50" s="73">
        <v>2014</v>
      </c>
      <c r="D50" s="74">
        <f t="shared" ref="D50:J50" si="3">C50+1</f>
        <v>2015</v>
      </c>
      <c r="E50" s="74">
        <f t="shared" si="3"/>
        <v>2016</v>
      </c>
      <c r="F50" s="74">
        <f t="shared" si="3"/>
        <v>2017</v>
      </c>
      <c r="G50" s="74">
        <f t="shared" si="3"/>
        <v>2018</v>
      </c>
      <c r="H50" s="74">
        <f t="shared" si="3"/>
        <v>2019</v>
      </c>
      <c r="I50" s="74">
        <f t="shared" si="3"/>
        <v>2020</v>
      </c>
      <c r="J50" s="74">
        <f t="shared" si="3"/>
        <v>2021</v>
      </c>
      <c r="K50" s="35"/>
      <c r="L50" s="35"/>
      <c r="M50" s="163"/>
    </row>
    <row r="51" spans="2:20">
      <c r="B51" s="257" t="str">
        <f>INDEX($J$54:$J$57,MATCH(LEFT('RFPR cover'!$C$6,2),Data!$E$54:$E$57,0),0)</f>
        <v>n/a</v>
      </c>
      <c r="C51" s="259">
        <f>IFERROR(INDEX(C$106:C$115,MATCH('RFPR cover'!$C$5,Data!$B$106:$B$115,0),0),0)</f>
        <v>0</v>
      </c>
      <c r="D51" s="241">
        <f>IFERROR(INDEX(D$106:D$115,MATCH('RFPR cover'!$C$5,Data!$B$106:$B$115,0),0),0)</f>
        <v>0</v>
      </c>
      <c r="E51" s="241">
        <f>IFERROR(INDEX(E$106:E$115,MATCH('RFPR cover'!$C$5,Data!$B$106:$B$115,0),0),0)</f>
        <v>0</v>
      </c>
      <c r="F51" s="241">
        <f>IFERROR(INDEX(F$106:F$115,MATCH('RFPR cover'!$C$5,Data!$B$106:$B$115,0),0),0)</f>
        <v>0</v>
      </c>
      <c r="G51" s="241">
        <f>IFERROR(INDEX(G$106:G$115,MATCH('RFPR cover'!$C$5,Data!$B$106:$B$115,0),0),0)</f>
        <v>0</v>
      </c>
      <c r="H51" s="241">
        <f>IFERROR(INDEX(H$106:H$115,MATCH('RFPR cover'!$C$5,Data!$B$106:$B$115,0),0),0)</f>
        <v>0</v>
      </c>
      <c r="I51" s="241">
        <f>IFERROR(INDEX(I$106:I$115,MATCH('RFPR cover'!$C$5,Data!$B$106:$B$115,0),0),0)</f>
        <v>0</v>
      </c>
      <c r="J51" s="241">
        <f>IFERROR(INDEX(J$106:J$115,MATCH('RFPR cover'!$C$5,Data!$B$106:$B$115,0),0),0)</f>
        <v>0</v>
      </c>
      <c r="K51" s="35"/>
      <c r="L51" s="35"/>
      <c r="M51" s="163"/>
    </row>
    <row r="52" spans="2:20">
      <c r="B52" s="235"/>
      <c r="C52" s="236"/>
      <c r="D52" s="236"/>
      <c r="E52" s="236"/>
      <c r="F52" s="236"/>
      <c r="G52" s="236"/>
      <c r="H52" s="236"/>
      <c r="I52" s="236"/>
      <c r="J52" s="236"/>
      <c r="K52" s="236"/>
      <c r="L52" s="236"/>
      <c r="M52" s="237"/>
    </row>
    <row r="53" spans="2:20">
      <c r="B53" s="35"/>
      <c r="C53" s="35"/>
      <c r="D53" s="35"/>
      <c r="E53" s="35"/>
      <c r="F53" s="35"/>
      <c r="G53" s="35"/>
      <c r="H53" s="35"/>
      <c r="I53" s="35"/>
      <c r="J53" s="35"/>
      <c r="K53" s="35"/>
    </row>
    <row r="54" spans="2:20">
      <c r="B54" s="245"/>
      <c r="C54" s="245"/>
      <c r="E54" s="242" t="s">
        <v>168</v>
      </c>
      <c r="F54" s="271" t="s">
        <v>155</v>
      </c>
      <c r="G54" s="959" t="s">
        <v>248</v>
      </c>
      <c r="H54" s="960"/>
      <c r="I54" s="961"/>
      <c r="J54" s="968" t="s">
        <v>250</v>
      </c>
      <c r="K54" s="969"/>
    </row>
    <row r="55" spans="2:20">
      <c r="B55" s="245"/>
      <c r="C55" s="245"/>
      <c r="E55" s="243" t="s">
        <v>170</v>
      </c>
      <c r="F55" s="272" t="s">
        <v>180</v>
      </c>
      <c r="G55" s="962" t="s">
        <v>248</v>
      </c>
      <c r="H55" s="963"/>
      <c r="I55" s="964"/>
      <c r="J55" s="970" t="s">
        <v>250</v>
      </c>
      <c r="K55" s="971"/>
    </row>
    <row r="56" spans="2:20">
      <c r="B56" s="245"/>
      <c r="C56" s="245"/>
      <c r="E56" s="243" t="s">
        <v>169</v>
      </c>
      <c r="F56" s="272" t="s">
        <v>180</v>
      </c>
      <c r="G56" s="962" t="s">
        <v>239</v>
      </c>
      <c r="H56" s="963"/>
      <c r="I56" s="964"/>
      <c r="J56" s="970" t="s">
        <v>240</v>
      </c>
      <c r="K56" s="971"/>
    </row>
    <row r="57" spans="2:20">
      <c r="B57" s="245"/>
      <c r="C57" s="245"/>
      <c r="E57" s="244" t="s">
        <v>171</v>
      </c>
      <c r="F57" s="273" t="s">
        <v>180</v>
      </c>
      <c r="G57" s="965" t="s">
        <v>249</v>
      </c>
      <c r="H57" s="966"/>
      <c r="I57" s="967"/>
      <c r="J57" s="972" t="s">
        <v>251</v>
      </c>
      <c r="K57" s="973"/>
    </row>
    <row r="58" spans="2:20">
      <c r="B58" s="245"/>
      <c r="C58" s="245"/>
      <c r="E58" s="245"/>
      <c r="F58" s="369"/>
      <c r="G58" s="370"/>
      <c r="H58" s="370"/>
      <c r="I58" s="370"/>
      <c r="J58" s="371"/>
      <c r="K58" s="371"/>
    </row>
    <row r="59" spans="2:20">
      <c r="B59" s="372"/>
      <c r="C59" s="372"/>
      <c r="D59" s="178"/>
      <c r="E59" s="372"/>
      <c r="F59" s="373"/>
      <c r="G59" s="374"/>
      <c r="H59" s="374"/>
      <c r="I59" s="374"/>
      <c r="J59" s="375"/>
      <c r="K59" s="375"/>
      <c r="L59" s="178"/>
      <c r="M59" s="178"/>
      <c r="N59" s="178"/>
      <c r="O59" s="178"/>
      <c r="P59" s="178"/>
      <c r="Q59" s="178"/>
      <c r="R59" s="178"/>
      <c r="S59" s="178"/>
      <c r="T59" s="178"/>
    </row>
    <row r="60" spans="2:20" s="27" customFormat="1">
      <c r="B60" s="325"/>
      <c r="C60" s="325"/>
      <c r="E60" s="325"/>
      <c r="F60" s="376"/>
      <c r="G60" s="377"/>
      <c r="H60" s="377"/>
      <c r="I60" s="377"/>
      <c r="J60" s="378"/>
      <c r="K60" s="378"/>
    </row>
    <row r="61" spans="2:20">
      <c r="B61" s="368" t="s">
        <v>345</v>
      </c>
      <c r="C61" s="36"/>
      <c r="I61" s="49"/>
    </row>
    <row r="62" spans="2:20">
      <c r="C62" s="99">
        <v>2014</v>
      </c>
      <c r="D62" s="100">
        <f t="shared" ref="D62:L62" si="4">C62+1</f>
        <v>2015</v>
      </c>
      <c r="E62" s="100">
        <f t="shared" si="4"/>
        <v>2016</v>
      </c>
      <c r="F62" s="100">
        <f t="shared" si="4"/>
        <v>2017</v>
      </c>
      <c r="G62" s="100">
        <f t="shared" si="4"/>
        <v>2018</v>
      </c>
      <c r="H62" s="100">
        <f t="shared" si="4"/>
        <v>2019</v>
      </c>
      <c r="I62" s="100">
        <f t="shared" si="4"/>
        <v>2020</v>
      </c>
      <c r="J62" s="100">
        <f t="shared" si="4"/>
        <v>2021</v>
      </c>
      <c r="K62" s="100">
        <f t="shared" si="4"/>
        <v>2022</v>
      </c>
      <c r="L62" s="157">
        <f t="shared" si="4"/>
        <v>2023</v>
      </c>
    </row>
    <row r="63" spans="2:20">
      <c r="B63" s="365" t="s">
        <v>343</v>
      </c>
      <c r="C63" s="464"/>
      <c r="D63" s="465"/>
      <c r="E63" s="363">
        <v>2.5499999999999998E-2</v>
      </c>
      <c r="F63" s="363">
        <v>2.3799999999999998E-2</v>
      </c>
      <c r="G63" s="363">
        <v>2.2200000000000001E-2</v>
      </c>
      <c r="H63" s="363">
        <v>1.9099999999999999E-2</v>
      </c>
      <c r="I63" s="363">
        <v>1.5800000000000002E-2</v>
      </c>
      <c r="J63" s="363">
        <v>1.09E-2</v>
      </c>
      <c r="K63" s="363">
        <v>7.6E-3</v>
      </c>
      <c r="L63" s="364">
        <v>4.4000000000000003E-3</v>
      </c>
    </row>
    <row r="64" spans="2:20">
      <c r="B64" s="366" t="s">
        <v>330</v>
      </c>
      <c r="C64" s="452"/>
      <c r="D64" s="453"/>
      <c r="E64" s="327">
        <v>2.5499999999999998E-2</v>
      </c>
      <c r="F64" s="327">
        <v>2.4199999999999999E-2</v>
      </c>
      <c r="G64" s="327">
        <v>2.29E-2</v>
      </c>
      <c r="H64" s="327">
        <v>2.0899999999999998E-2</v>
      </c>
      <c r="I64" s="327">
        <v>1.9400000000000001E-2</v>
      </c>
      <c r="J64" s="327">
        <v>1.78E-2</v>
      </c>
      <c r="K64" s="327">
        <v>1.6199999999999999E-2</v>
      </c>
      <c r="L64" s="330">
        <v>1.47E-2</v>
      </c>
    </row>
    <row r="65" spans="1:20">
      <c r="B65" s="366" t="s">
        <v>58</v>
      </c>
      <c r="C65" s="326">
        <v>2.92E-2</v>
      </c>
      <c r="D65" s="327">
        <v>2.5000000000000001E-2</v>
      </c>
      <c r="E65" s="327">
        <v>2.1499999999999998E-2</v>
      </c>
      <c r="F65" s="327">
        <v>1.7899999999999999E-2</v>
      </c>
      <c r="G65" s="327">
        <v>1.5100000000000001E-2</v>
      </c>
      <c r="H65" s="327">
        <v>1.1599999999999999E-2</v>
      </c>
      <c r="I65" s="327">
        <v>1.0200000000000001E-2</v>
      </c>
      <c r="J65" s="327">
        <v>7.6E-3</v>
      </c>
      <c r="K65" s="466"/>
      <c r="L65" s="467"/>
    </row>
    <row r="66" spans="1:20">
      <c r="B66" s="366" t="s">
        <v>344</v>
      </c>
      <c r="C66" s="361">
        <v>2.92E-2</v>
      </c>
      <c r="D66" s="362">
        <v>2.7199999999999998E-2</v>
      </c>
      <c r="E66" s="362">
        <v>2.5499999999999998E-2</v>
      </c>
      <c r="F66" s="362">
        <v>2.3800000000000002E-2</v>
      </c>
      <c r="G66" s="362">
        <v>2.2200000000000001E-2</v>
      </c>
      <c r="H66" s="362">
        <v>1.9099999999999999E-2</v>
      </c>
      <c r="I66" s="362">
        <v>1.5800000000000002E-2</v>
      </c>
      <c r="J66" s="362">
        <v>1.09E-2</v>
      </c>
      <c r="K66" s="453"/>
      <c r="L66" s="454"/>
    </row>
    <row r="67" spans="1:20">
      <c r="B67" s="366" t="s">
        <v>169</v>
      </c>
      <c r="C67" s="326">
        <v>2.92E-2</v>
      </c>
      <c r="D67" s="327">
        <v>2.7199999999999998E-2</v>
      </c>
      <c r="E67" s="327">
        <v>2.5499999999999998E-2</v>
      </c>
      <c r="F67" s="327">
        <v>2.3800000000000002E-2</v>
      </c>
      <c r="G67" s="327">
        <v>2.2200000000000001E-2</v>
      </c>
      <c r="H67" s="362">
        <v>1.9099999999999999E-2</v>
      </c>
      <c r="I67" s="362">
        <v>1.5800000000000002E-2</v>
      </c>
      <c r="J67" s="362">
        <v>1.09E-2</v>
      </c>
      <c r="K67" s="453"/>
      <c r="L67" s="454"/>
    </row>
    <row r="68" spans="1:20">
      <c r="B68" s="367" t="s">
        <v>171</v>
      </c>
      <c r="C68" s="328">
        <v>2.92E-2</v>
      </c>
      <c r="D68" s="329">
        <v>2.7199999999999998E-2</v>
      </c>
      <c r="E68" s="329">
        <v>2.5499999999999998E-2</v>
      </c>
      <c r="F68" s="329">
        <v>2.3800000000000002E-2</v>
      </c>
      <c r="G68" s="329">
        <v>2.2200000000000001E-2</v>
      </c>
      <c r="H68" s="329">
        <v>1.9099999999999999E-2</v>
      </c>
      <c r="I68" s="329">
        <v>1.5800000000000002E-2</v>
      </c>
      <c r="J68" s="329">
        <v>1.09E-2</v>
      </c>
      <c r="K68" s="455"/>
      <c r="L68" s="456"/>
    </row>
    <row r="69" spans="1:20">
      <c r="I69" s="49"/>
    </row>
    <row r="70" spans="1:20">
      <c r="H70" s="49"/>
      <c r="K70" s="35"/>
      <c r="L70" s="35"/>
      <c r="M70" s="35"/>
      <c r="N70" s="35"/>
      <c r="O70" s="35"/>
      <c r="P70" s="35"/>
      <c r="Q70" s="35"/>
      <c r="R70" s="35"/>
      <c r="S70" s="35"/>
      <c r="T70" s="35"/>
    </row>
    <row r="71" spans="1:20" ht="38.25">
      <c r="B71" s="20"/>
      <c r="C71" s="56" t="s">
        <v>246</v>
      </c>
      <c r="D71" s="57" t="s">
        <v>208</v>
      </c>
      <c r="E71" s="57" t="s">
        <v>69</v>
      </c>
      <c r="F71" s="57" t="s">
        <v>268</v>
      </c>
      <c r="G71" s="57" t="s">
        <v>113</v>
      </c>
      <c r="H71" s="58" t="s">
        <v>182</v>
      </c>
      <c r="I71" s="270" t="s">
        <v>263</v>
      </c>
      <c r="J71" s="270" t="s">
        <v>475</v>
      </c>
      <c r="K71" s="956" t="s">
        <v>339</v>
      </c>
      <c r="L71" s="957"/>
      <c r="M71" s="957"/>
      <c r="N71" s="957"/>
      <c r="O71" s="957"/>
      <c r="P71" s="957"/>
      <c r="Q71" s="957"/>
      <c r="R71" s="957"/>
      <c r="S71" s="957"/>
      <c r="T71" s="958"/>
    </row>
    <row r="72" spans="1:20">
      <c r="A72" s="274" t="s">
        <v>185</v>
      </c>
      <c r="B72" s="50" t="s">
        <v>66</v>
      </c>
      <c r="C72" s="246"/>
      <c r="D72" s="52"/>
      <c r="E72" s="51"/>
      <c r="F72" s="51"/>
      <c r="G72" s="52"/>
      <c r="H72" s="53"/>
      <c r="I72" s="53"/>
      <c r="J72" s="350"/>
      <c r="K72" s="351">
        <v>2014</v>
      </c>
      <c r="L72" s="352">
        <f t="shared" ref="L72:T72" si="5">K72+1</f>
        <v>2015</v>
      </c>
      <c r="M72" s="352">
        <f t="shared" si="5"/>
        <v>2016</v>
      </c>
      <c r="N72" s="352">
        <f t="shared" si="5"/>
        <v>2017</v>
      </c>
      <c r="O72" s="352">
        <f t="shared" si="5"/>
        <v>2018</v>
      </c>
      <c r="P72" s="352">
        <f t="shared" si="5"/>
        <v>2019</v>
      </c>
      <c r="Q72" s="352">
        <f t="shared" si="5"/>
        <v>2020</v>
      </c>
      <c r="R72" s="352">
        <f t="shared" si="5"/>
        <v>2021</v>
      </c>
      <c r="S72" s="352">
        <f t="shared" si="5"/>
        <v>2022</v>
      </c>
      <c r="T72" s="353">
        <f t="shared" si="5"/>
        <v>2023</v>
      </c>
    </row>
    <row r="73" spans="1:20">
      <c r="A73" s="44" t="s">
        <v>168</v>
      </c>
      <c r="B73" s="54" t="s">
        <v>40</v>
      </c>
      <c r="C73" s="247">
        <v>0.06</v>
      </c>
      <c r="D73" s="248">
        <v>0.58109999999999995</v>
      </c>
      <c r="E73" s="249">
        <v>0.65</v>
      </c>
      <c r="F73" s="249">
        <v>0.68</v>
      </c>
      <c r="G73" s="280">
        <v>2016</v>
      </c>
      <c r="H73" s="281" t="str">
        <f t="shared" ref="H73:H97" si="6">VLOOKUP($A73,$E$54:$F$57,2,FALSE)</f>
        <v>£m 12/13</v>
      </c>
      <c r="I73" s="281" t="s">
        <v>264</v>
      </c>
      <c r="J73" s="350" t="s">
        <v>476</v>
      </c>
      <c r="K73" s="452"/>
      <c r="L73" s="453"/>
      <c r="M73" s="356">
        <f t="shared" ref="M73:M82" si="7">E$64</f>
        <v>2.5499999999999998E-2</v>
      </c>
      <c r="N73" s="356">
        <f t="shared" ref="N73:N82" si="8">F$64</f>
        <v>2.4199999999999999E-2</v>
      </c>
      <c r="O73" s="356">
        <f t="shared" ref="O73:O82" si="9">G$64</f>
        <v>2.29E-2</v>
      </c>
      <c r="P73" s="356">
        <f t="shared" ref="P73:P82" si="10">H$64</f>
        <v>2.0899999999999998E-2</v>
      </c>
      <c r="Q73" s="356">
        <f t="shared" ref="Q73:Q82" si="11">I$64</f>
        <v>1.9400000000000001E-2</v>
      </c>
      <c r="R73" s="356">
        <f t="shared" ref="R73:R82" si="12">J$64</f>
        <v>1.78E-2</v>
      </c>
      <c r="S73" s="356">
        <f t="shared" ref="S73:S82" si="13">K$64</f>
        <v>1.6199999999999999E-2</v>
      </c>
      <c r="T73" s="360">
        <f t="shared" ref="T73:T82" si="14">L$64</f>
        <v>1.47E-2</v>
      </c>
    </row>
    <row r="74" spans="1:20">
      <c r="A74" s="44" t="s">
        <v>168</v>
      </c>
      <c r="B74" s="54" t="s">
        <v>41</v>
      </c>
      <c r="C74" s="247">
        <v>0.06</v>
      </c>
      <c r="D74" s="248">
        <v>0.55843703457782867</v>
      </c>
      <c r="E74" s="249">
        <v>0.65</v>
      </c>
      <c r="F74" s="249">
        <v>0.7</v>
      </c>
      <c r="G74" s="280">
        <v>2016</v>
      </c>
      <c r="H74" s="281" t="str">
        <f t="shared" si="6"/>
        <v>£m 12/13</v>
      </c>
      <c r="I74" s="281" t="s">
        <v>264</v>
      </c>
      <c r="J74" s="350" t="s">
        <v>476</v>
      </c>
      <c r="K74" s="452"/>
      <c r="L74" s="453"/>
      <c r="M74" s="356">
        <f t="shared" si="7"/>
        <v>2.5499999999999998E-2</v>
      </c>
      <c r="N74" s="356">
        <f t="shared" si="8"/>
        <v>2.4199999999999999E-2</v>
      </c>
      <c r="O74" s="356">
        <f t="shared" si="9"/>
        <v>2.29E-2</v>
      </c>
      <c r="P74" s="356">
        <f t="shared" si="10"/>
        <v>2.0899999999999998E-2</v>
      </c>
      <c r="Q74" s="356">
        <f t="shared" si="11"/>
        <v>1.9400000000000001E-2</v>
      </c>
      <c r="R74" s="356">
        <f t="shared" si="12"/>
        <v>1.78E-2</v>
      </c>
      <c r="S74" s="356">
        <f t="shared" si="13"/>
        <v>1.6199999999999999E-2</v>
      </c>
      <c r="T74" s="360">
        <f t="shared" si="14"/>
        <v>1.47E-2</v>
      </c>
    </row>
    <row r="75" spans="1:20">
      <c r="A75" s="44" t="s">
        <v>168</v>
      </c>
      <c r="B75" s="54" t="s">
        <v>70</v>
      </c>
      <c r="C75" s="247">
        <v>0.06</v>
      </c>
      <c r="D75" s="248">
        <v>0.55843703457782867</v>
      </c>
      <c r="E75" s="249">
        <v>0.65</v>
      </c>
      <c r="F75" s="249">
        <v>0.72</v>
      </c>
      <c r="G75" s="280">
        <v>2016</v>
      </c>
      <c r="H75" s="281" t="str">
        <f t="shared" si="6"/>
        <v>£m 12/13</v>
      </c>
      <c r="I75" s="281" t="s">
        <v>264</v>
      </c>
      <c r="J75" s="350" t="s">
        <v>476</v>
      </c>
      <c r="K75" s="452"/>
      <c r="L75" s="453"/>
      <c r="M75" s="356">
        <f t="shared" si="7"/>
        <v>2.5499999999999998E-2</v>
      </c>
      <c r="N75" s="356">
        <f t="shared" si="8"/>
        <v>2.4199999999999999E-2</v>
      </c>
      <c r="O75" s="356">
        <f t="shared" si="9"/>
        <v>2.29E-2</v>
      </c>
      <c r="P75" s="356">
        <f t="shared" si="10"/>
        <v>2.0899999999999998E-2</v>
      </c>
      <c r="Q75" s="356">
        <f t="shared" si="11"/>
        <v>1.9400000000000001E-2</v>
      </c>
      <c r="R75" s="356">
        <f t="shared" si="12"/>
        <v>1.78E-2</v>
      </c>
      <c r="S75" s="356">
        <f t="shared" si="13"/>
        <v>1.6199999999999999E-2</v>
      </c>
      <c r="T75" s="360">
        <f t="shared" si="14"/>
        <v>1.47E-2</v>
      </c>
    </row>
    <row r="76" spans="1:20">
      <c r="A76" s="44" t="s">
        <v>168</v>
      </c>
      <c r="B76" s="54" t="s">
        <v>56</v>
      </c>
      <c r="C76" s="247">
        <v>0.06</v>
      </c>
      <c r="D76" s="248">
        <v>0.53280000000000005</v>
      </c>
      <c r="E76" s="249">
        <v>0.65</v>
      </c>
      <c r="F76" s="249">
        <v>0.68</v>
      </c>
      <c r="G76" s="280">
        <v>2016</v>
      </c>
      <c r="H76" s="281" t="str">
        <f t="shared" si="6"/>
        <v>£m 12/13</v>
      </c>
      <c r="I76" s="281" t="s">
        <v>264</v>
      </c>
      <c r="J76" s="350" t="s">
        <v>476</v>
      </c>
      <c r="K76" s="452"/>
      <c r="L76" s="453"/>
      <c r="M76" s="356">
        <f t="shared" si="7"/>
        <v>2.5499999999999998E-2</v>
      </c>
      <c r="N76" s="356">
        <f t="shared" si="8"/>
        <v>2.4199999999999999E-2</v>
      </c>
      <c r="O76" s="356">
        <f t="shared" si="9"/>
        <v>2.29E-2</v>
      </c>
      <c r="P76" s="356">
        <f t="shared" si="10"/>
        <v>2.0899999999999998E-2</v>
      </c>
      <c r="Q76" s="356">
        <f t="shared" si="11"/>
        <v>1.9400000000000001E-2</v>
      </c>
      <c r="R76" s="356">
        <f t="shared" si="12"/>
        <v>1.78E-2</v>
      </c>
      <c r="S76" s="356">
        <f t="shared" si="13"/>
        <v>1.6199999999999999E-2</v>
      </c>
      <c r="T76" s="360">
        <f t="shared" si="14"/>
        <v>1.47E-2</v>
      </c>
    </row>
    <row r="77" spans="1:20">
      <c r="A77" s="44" t="s">
        <v>168</v>
      </c>
      <c r="B77" s="54" t="s">
        <v>54</v>
      </c>
      <c r="C77" s="247">
        <v>0.06</v>
      </c>
      <c r="D77" s="248">
        <v>0.53280000000000005</v>
      </c>
      <c r="E77" s="249">
        <v>0.65</v>
      </c>
      <c r="F77" s="249">
        <v>0.68</v>
      </c>
      <c r="G77" s="280">
        <v>2016</v>
      </c>
      <c r="H77" s="281" t="str">
        <f t="shared" si="6"/>
        <v>£m 12/13</v>
      </c>
      <c r="I77" s="281" t="s">
        <v>264</v>
      </c>
      <c r="J77" s="350" t="s">
        <v>476</v>
      </c>
      <c r="K77" s="452"/>
      <c r="L77" s="453"/>
      <c r="M77" s="356">
        <f t="shared" si="7"/>
        <v>2.5499999999999998E-2</v>
      </c>
      <c r="N77" s="356">
        <f t="shared" si="8"/>
        <v>2.4199999999999999E-2</v>
      </c>
      <c r="O77" s="356">
        <f t="shared" si="9"/>
        <v>2.29E-2</v>
      </c>
      <c r="P77" s="356">
        <f t="shared" si="10"/>
        <v>2.0899999999999998E-2</v>
      </c>
      <c r="Q77" s="356">
        <f t="shared" si="11"/>
        <v>1.9400000000000001E-2</v>
      </c>
      <c r="R77" s="356">
        <f t="shared" si="12"/>
        <v>1.78E-2</v>
      </c>
      <c r="S77" s="356">
        <f t="shared" si="13"/>
        <v>1.6199999999999999E-2</v>
      </c>
      <c r="T77" s="360">
        <f t="shared" si="14"/>
        <v>1.47E-2</v>
      </c>
    </row>
    <row r="78" spans="1:20">
      <c r="A78" s="44" t="s">
        <v>168</v>
      </c>
      <c r="B78" s="54" t="s">
        <v>55</v>
      </c>
      <c r="C78" s="247">
        <v>0.06</v>
      </c>
      <c r="D78" s="248">
        <v>0.53280000000000005</v>
      </c>
      <c r="E78" s="249">
        <v>0.65</v>
      </c>
      <c r="F78" s="249">
        <v>0.68</v>
      </c>
      <c r="G78" s="280">
        <v>2016</v>
      </c>
      <c r="H78" s="281" t="str">
        <f t="shared" si="6"/>
        <v>£m 12/13</v>
      </c>
      <c r="I78" s="281" t="s">
        <v>264</v>
      </c>
      <c r="J78" s="350" t="s">
        <v>476</v>
      </c>
      <c r="K78" s="452"/>
      <c r="L78" s="453"/>
      <c r="M78" s="356">
        <f t="shared" si="7"/>
        <v>2.5499999999999998E-2</v>
      </c>
      <c r="N78" s="356">
        <f t="shared" si="8"/>
        <v>2.4199999999999999E-2</v>
      </c>
      <c r="O78" s="356">
        <f t="shared" si="9"/>
        <v>2.29E-2</v>
      </c>
      <c r="P78" s="356">
        <f t="shared" si="10"/>
        <v>2.0899999999999998E-2</v>
      </c>
      <c r="Q78" s="356">
        <f t="shared" si="11"/>
        <v>1.9400000000000001E-2</v>
      </c>
      <c r="R78" s="356">
        <f t="shared" si="12"/>
        <v>1.78E-2</v>
      </c>
      <c r="S78" s="356">
        <f t="shared" si="13"/>
        <v>1.6199999999999999E-2</v>
      </c>
      <c r="T78" s="360">
        <f t="shared" si="14"/>
        <v>1.47E-2</v>
      </c>
    </row>
    <row r="79" spans="1:20">
      <c r="A79" s="44" t="s">
        <v>168</v>
      </c>
      <c r="B79" s="54" t="s">
        <v>42</v>
      </c>
      <c r="C79" s="247">
        <v>0.06</v>
      </c>
      <c r="D79" s="248">
        <v>0.53500000000000003</v>
      </c>
      <c r="E79" s="249">
        <v>0.65</v>
      </c>
      <c r="F79" s="249">
        <v>0.8</v>
      </c>
      <c r="G79" s="280">
        <v>2016</v>
      </c>
      <c r="H79" s="281" t="str">
        <f t="shared" si="6"/>
        <v>£m 12/13</v>
      </c>
      <c r="I79" s="281" t="s">
        <v>264</v>
      </c>
      <c r="J79" s="350" t="s">
        <v>476</v>
      </c>
      <c r="K79" s="452"/>
      <c r="L79" s="453"/>
      <c r="M79" s="356">
        <f t="shared" si="7"/>
        <v>2.5499999999999998E-2</v>
      </c>
      <c r="N79" s="356">
        <f t="shared" si="8"/>
        <v>2.4199999999999999E-2</v>
      </c>
      <c r="O79" s="356">
        <f t="shared" si="9"/>
        <v>2.29E-2</v>
      </c>
      <c r="P79" s="356">
        <f t="shared" si="10"/>
        <v>2.0899999999999998E-2</v>
      </c>
      <c r="Q79" s="356">
        <f t="shared" si="11"/>
        <v>1.9400000000000001E-2</v>
      </c>
      <c r="R79" s="356">
        <f t="shared" si="12"/>
        <v>1.78E-2</v>
      </c>
      <c r="S79" s="356">
        <f t="shared" si="13"/>
        <v>1.6199999999999999E-2</v>
      </c>
      <c r="T79" s="360">
        <f t="shared" si="14"/>
        <v>1.47E-2</v>
      </c>
    </row>
    <row r="80" spans="1:20">
      <c r="A80" s="44" t="s">
        <v>168</v>
      </c>
      <c r="B80" s="54" t="s">
        <v>43</v>
      </c>
      <c r="C80" s="247">
        <v>0.06</v>
      </c>
      <c r="D80" s="248">
        <v>0.53500000000000003</v>
      </c>
      <c r="E80" s="249">
        <v>0.65</v>
      </c>
      <c r="F80" s="249">
        <v>0.8</v>
      </c>
      <c r="G80" s="280">
        <v>2016</v>
      </c>
      <c r="H80" s="281" t="str">
        <f t="shared" si="6"/>
        <v>£m 12/13</v>
      </c>
      <c r="I80" s="281" t="s">
        <v>264</v>
      </c>
      <c r="J80" s="350" t="s">
        <v>476</v>
      </c>
      <c r="K80" s="452"/>
      <c r="L80" s="453"/>
      <c r="M80" s="356">
        <f t="shared" si="7"/>
        <v>2.5499999999999998E-2</v>
      </c>
      <c r="N80" s="356">
        <f t="shared" si="8"/>
        <v>2.4199999999999999E-2</v>
      </c>
      <c r="O80" s="356">
        <f t="shared" si="9"/>
        <v>2.29E-2</v>
      </c>
      <c r="P80" s="356">
        <f t="shared" si="10"/>
        <v>2.0899999999999998E-2</v>
      </c>
      <c r="Q80" s="356">
        <f t="shared" si="11"/>
        <v>1.9400000000000001E-2</v>
      </c>
      <c r="R80" s="356">
        <f t="shared" si="12"/>
        <v>1.78E-2</v>
      </c>
      <c r="S80" s="356">
        <f t="shared" si="13"/>
        <v>1.6199999999999999E-2</v>
      </c>
      <c r="T80" s="360">
        <f t="shared" si="14"/>
        <v>1.47E-2</v>
      </c>
    </row>
    <row r="81" spans="1:20">
      <c r="A81" s="44" t="s">
        <v>168</v>
      </c>
      <c r="B81" s="54" t="s">
        <v>44</v>
      </c>
      <c r="C81" s="247">
        <v>0.06</v>
      </c>
      <c r="D81" s="248">
        <v>0.56469999999999998</v>
      </c>
      <c r="E81" s="249">
        <v>0.65</v>
      </c>
      <c r="F81" s="249">
        <v>0.62</v>
      </c>
      <c r="G81" s="280">
        <v>2016</v>
      </c>
      <c r="H81" s="281" t="str">
        <f t="shared" si="6"/>
        <v>£m 12/13</v>
      </c>
      <c r="I81" s="281" t="s">
        <v>264</v>
      </c>
      <c r="J81" s="350" t="s">
        <v>476</v>
      </c>
      <c r="K81" s="452"/>
      <c r="L81" s="453"/>
      <c r="M81" s="356">
        <f t="shared" si="7"/>
        <v>2.5499999999999998E-2</v>
      </c>
      <c r="N81" s="356">
        <f t="shared" si="8"/>
        <v>2.4199999999999999E-2</v>
      </c>
      <c r="O81" s="356">
        <f t="shared" si="9"/>
        <v>2.29E-2</v>
      </c>
      <c r="P81" s="356">
        <f t="shared" si="10"/>
        <v>2.0899999999999998E-2</v>
      </c>
      <c r="Q81" s="356">
        <f t="shared" si="11"/>
        <v>1.9400000000000001E-2</v>
      </c>
      <c r="R81" s="356">
        <f t="shared" si="12"/>
        <v>1.78E-2</v>
      </c>
      <c r="S81" s="356">
        <f t="shared" si="13"/>
        <v>1.6199999999999999E-2</v>
      </c>
      <c r="T81" s="360">
        <f t="shared" si="14"/>
        <v>1.47E-2</v>
      </c>
    </row>
    <row r="82" spans="1:20">
      <c r="A82" s="44" t="s">
        <v>168</v>
      </c>
      <c r="B82" s="54" t="s">
        <v>45</v>
      </c>
      <c r="C82" s="247">
        <v>0.06</v>
      </c>
      <c r="D82" s="248">
        <v>0.56469999999999998</v>
      </c>
      <c r="E82" s="249">
        <v>0.65</v>
      </c>
      <c r="F82" s="249">
        <v>0.7</v>
      </c>
      <c r="G82" s="280">
        <v>2016</v>
      </c>
      <c r="H82" s="281" t="str">
        <f t="shared" si="6"/>
        <v>£m 12/13</v>
      </c>
      <c r="I82" s="281" t="s">
        <v>264</v>
      </c>
      <c r="J82" s="350" t="s">
        <v>476</v>
      </c>
      <c r="K82" s="452"/>
      <c r="L82" s="453"/>
      <c r="M82" s="356">
        <f t="shared" si="7"/>
        <v>2.5499999999999998E-2</v>
      </c>
      <c r="N82" s="356">
        <f t="shared" si="8"/>
        <v>2.4199999999999999E-2</v>
      </c>
      <c r="O82" s="356">
        <f t="shared" si="9"/>
        <v>2.29E-2</v>
      </c>
      <c r="P82" s="356">
        <f t="shared" si="10"/>
        <v>2.0899999999999998E-2</v>
      </c>
      <c r="Q82" s="356">
        <f t="shared" si="11"/>
        <v>1.9400000000000001E-2</v>
      </c>
      <c r="R82" s="356">
        <f t="shared" si="12"/>
        <v>1.78E-2</v>
      </c>
      <c r="S82" s="356">
        <f t="shared" si="13"/>
        <v>1.6199999999999999E-2</v>
      </c>
      <c r="T82" s="360">
        <f t="shared" si="14"/>
        <v>1.47E-2</v>
      </c>
    </row>
    <row r="83" spans="1:20">
      <c r="A83" s="44" t="s">
        <v>168</v>
      </c>
      <c r="B83" s="54" t="s">
        <v>241</v>
      </c>
      <c r="C83" s="247">
        <v>6.4000000000000001E-2</v>
      </c>
      <c r="D83" s="248">
        <v>0.7</v>
      </c>
      <c r="E83" s="249">
        <v>0.65</v>
      </c>
      <c r="F83" s="249">
        <v>0.8</v>
      </c>
      <c r="G83" s="280">
        <v>2016</v>
      </c>
      <c r="H83" s="281" t="str">
        <f t="shared" si="6"/>
        <v>£m 12/13</v>
      </c>
      <c r="I83" s="281" t="s">
        <v>265</v>
      </c>
      <c r="J83" s="350" t="s">
        <v>477</v>
      </c>
      <c r="K83" s="452"/>
      <c r="L83" s="453"/>
      <c r="M83" s="356">
        <f t="shared" ref="M83:T86" si="15">E$63</f>
        <v>2.5499999999999998E-2</v>
      </c>
      <c r="N83" s="356">
        <f t="shared" si="15"/>
        <v>2.3799999999999998E-2</v>
      </c>
      <c r="O83" s="356">
        <f t="shared" si="15"/>
        <v>2.2200000000000001E-2</v>
      </c>
      <c r="P83" s="356">
        <f t="shared" si="15"/>
        <v>1.9099999999999999E-2</v>
      </c>
      <c r="Q83" s="356">
        <f t="shared" si="15"/>
        <v>1.5800000000000002E-2</v>
      </c>
      <c r="R83" s="356">
        <f t="shared" si="15"/>
        <v>1.09E-2</v>
      </c>
      <c r="S83" s="356">
        <f t="shared" si="15"/>
        <v>7.6E-3</v>
      </c>
      <c r="T83" s="360">
        <f t="shared" si="15"/>
        <v>4.4000000000000003E-3</v>
      </c>
    </row>
    <row r="84" spans="1:20">
      <c r="A84" s="44" t="s">
        <v>168</v>
      </c>
      <c r="B84" s="54" t="s">
        <v>242</v>
      </c>
      <c r="C84" s="247">
        <v>6.4000000000000001E-2</v>
      </c>
      <c r="D84" s="248">
        <v>0.7</v>
      </c>
      <c r="E84" s="249">
        <v>0.65</v>
      </c>
      <c r="F84" s="249">
        <v>0.8</v>
      </c>
      <c r="G84" s="280">
        <v>2016</v>
      </c>
      <c r="H84" s="281" t="str">
        <f t="shared" si="6"/>
        <v>£m 12/13</v>
      </c>
      <c r="I84" s="281" t="s">
        <v>265</v>
      </c>
      <c r="J84" s="350" t="s">
        <v>477</v>
      </c>
      <c r="K84" s="452"/>
      <c r="L84" s="453"/>
      <c r="M84" s="356">
        <f t="shared" si="15"/>
        <v>2.5499999999999998E-2</v>
      </c>
      <c r="N84" s="356">
        <f t="shared" si="15"/>
        <v>2.3799999999999998E-2</v>
      </c>
      <c r="O84" s="356">
        <f t="shared" si="15"/>
        <v>2.2200000000000001E-2</v>
      </c>
      <c r="P84" s="356">
        <f t="shared" si="15"/>
        <v>1.9099999999999999E-2</v>
      </c>
      <c r="Q84" s="356">
        <f t="shared" si="15"/>
        <v>1.5800000000000002E-2</v>
      </c>
      <c r="R84" s="356">
        <f t="shared" si="15"/>
        <v>1.09E-2</v>
      </c>
      <c r="S84" s="356">
        <f t="shared" si="15"/>
        <v>7.6E-3</v>
      </c>
      <c r="T84" s="360">
        <f t="shared" si="15"/>
        <v>4.4000000000000003E-3</v>
      </c>
    </row>
    <row r="85" spans="1:20">
      <c r="A85" s="44" t="s">
        <v>168</v>
      </c>
      <c r="B85" s="54" t="s">
        <v>243</v>
      </c>
      <c r="C85" s="247">
        <v>6.4000000000000001E-2</v>
      </c>
      <c r="D85" s="248">
        <v>0.7</v>
      </c>
      <c r="E85" s="249">
        <v>0.65</v>
      </c>
      <c r="F85" s="249">
        <v>0.8</v>
      </c>
      <c r="G85" s="280">
        <v>2016</v>
      </c>
      <c r="H85" s="281" t="str">
        <f t="shared" si="6"/>
        <v>£m 12/13</v>
      </c>
      <c r="I85" s="281" t="s">
        <v>265</v>
      </c>
      <c r="J85" s="350" t="s">
        <v>477</v>
      </c>
      <c r="K85" s="452"/>
      <c r="L85" s="453"/>
      <c r="M85" s="356">
        <f t="shared" si="15"/>
        <v>2.5499999999999998E-2</v>
      </c>
      <c r="N85" s="356">
        <f t="shared" si="15"/>
        <v>2.3799999999999998E-2</v>
      </c>
      <c r="O85" s="356">
        <f t="shared" si="15"/>
        <v>2.2200000000000001E-2</v>
      </c>
      <c r="P85" s="356">
        <f t="shared" si="15"/>
        <v>1.9099999999999999E-2</v>
      </c>
      <c r="Q85" s="356">
        <f t="shared" si="15"/>
        <v>1.5800000000000002E-2</v>
      </c>
      <c r="R85" s="356">
        <f t="shared" si="15"/>
        <v>1.09E-2</v>
      </c>
      <c r="S85" s="356">
        <f t="shared" si="15"/>
        <v>7.6E-3</v>
      </c>
      <c r="T85" s="360">
        <f t="shared" si="15"/>
        <v>4.4000000000000003E-3</v>
      </c>
    </row>
    <row r="86" spans="1:20">
      <c r="A86" s="44" t="s">
        <v>168</v>
      </c>
      <c r="B86" s="54" t="s">
        <v>244</v>
      </c>
      <c r="C86" s="247">
        <v>6.4000000000000001E-2</v>
      </c>
      <c r="D86" s="248">
        <v>0.7</v>
      </c>
      <c r="E86" s="249">
        <v>0.65</v>
      </c>
      <c r="F86" s="249">
        <v>0.8</v>
      </c>
      <c r="G86" s="280">
        <v>2016</v>
      </c>
      <c r="H86" s="281" t="str">
        <f t="shared" si="6"/>
        <v>£m 12/13</v>
      </c>
      <c r="I86" s="281" t="s">
        <v>265</v>
      </c>
      <c r="J86" s="350" t="s">
        <v>477</v>
      </c>
      <c r="K86" s="452"/>
      <c r="L86" s="453"/>
      <c r="M86" s="356">
        <f t="shared" si="15"/>
        <v>2.5499999999999998E-2</v>
      </c>
      <c r="N86" s="356">
        <f t="shared" si="15"/>
        <v>2.3799999999999998E-2</v>
      </c>
      <c r="O86" s="356">
        <f t="shared" si="15"/>
        <v>2.2200000000000001E-2</v>
      </c>
      <c r="P86" s="356">
        <f t="shared" si="15"/>
        <v>1.9099999999999999E-2</v>
      </c>
      <c r="Q86" s="356">
        <f t="shared" si="15"/>
        <v>1.5800000000000002E-2</v>
      </c>
      <c r="R86" s="356">
        <f t="shared" si="15"/>
        <v>1.09E-2</v>
      </c>
      <c r="S86" s="356">
        <f t="shared" si="15"/>
        <v>7.6E-3</v>
      </c>
      <c r="T86" s="360">
        <f t="shared" si="15"/>
        <v>4.4000000000000003E-3</v>
      </c>
    </row>
    <row r="87" spans="1:20">
      <c r="A87" s="44" t="s">
        <v>169</v>
      </c>
      <c r="B87" s="54" t="s">
        <v>50</v>
      </c>
      <c r="C87" s="247">
        <v>6.7000000000000004E-2</v>
      </c>
      <c r="D87" s="248">
        <v>0.63039999999999996</v>
      </c>
      <c r="E87" s="249">
        <v>0.65</v>
      </c>
      <c r="F87" s="249">
        <v>0.26634501855794862</v>
      </c>
      <c r="G87" s="280">
        <v>2014</v>
      </c>
      <c r="H87" s="281" t="str">
        <f t="shared" si="6"/>
        <v>£m 09/10</v>
      </c>
      <c r="I87" s="281" t="s">
        <v>264</v>
      </c>
      <c r="J87" s="350" t="s">
        <v>477</v>
      </c>
      <c r="K87" s="358">
        <f t="shared" ref="K87:R94" si="16">C$67</f>
        <v>2.92E-2</v>
      </c>
      <c r="L87" s="356">
        <f t="shared" si="16"/>
        <v>2.7199999999999998E-2</v>
      </c>
      <c r="M87" s="356">
        <f t="shared" si="16"/>
        <v>2.5499999999999998E-2</v>
      </c>
      <c r="N87" s="356">
        <f t="shared" si="16"/>
        <v>2.3800000000000002E-2</v>
      </c>
      <c r="O87" s="356">
        <f t="shared" si="16"/>
        <v>2.2200000000000001E-2</v>
      </c>
      <c r="P87" s="356">
        <f t="shared" si="16"/>
        <v>1.9099999999999999E-2</v>
      </c>
      <c r="Q87" s="356">
        <f t="shared" si="16"/>
        <v>1.5800000000000002E-2</v>
      </c>
      <c r="R87" s="356">
        <f t="shared" si="16"/>
        <v>1.09E-2</v>
      </c>
      <c r="S87" s="453"/>
      <c r="T87" s="454"/>
    </row>
    <row r="88" spans="1:20">
      <c r="A88" s="44" t="s">
        <v>169</v>
      </c>
      <c r="B88" s="54" t="s">
        <v>51</v>
      </c>
      <c r="C88" s="247">
        <v>6.7000000000000004E-2</v>
      </c>
      <c r="D88" s="248">
        <v>0.63039999999999996</v>
      </c>
      <c r="E88" s="249">
        <v>0.65</v>
      </c>
      <c r="F88" s="249">
        <v>0.23469337831705597</v>
      </c>
      <c r="G88" s="280">
        <v>2014</v>
      </c>
      <c r="H88" s="281" t="str">
        <f t="shared" si="6"/>
        <v>£m 09/10</v>
      </c>
      <c r="I88" s="281" t="s">
        <v>264</v>
      </c>
      <c r="J88" s="350" t="s">
        <v>477</v>
      </c>
      <c r="K88" s="358">
        <f t="shared" si="16"/>
        <v>2.92E-2</v>
      </c>
      <c r="L88" s="356">
        <f t="shared" si="16"/>
        <v>2.7199999999999998E-2</v>
      </c>
      <c r="M88" s="356">
        <f t="shared" si="16"/>
        <v>2.5499999999999998E-2</v>
      </c>
      <c r="N88" s="356">
        <f t="shared" si="16"/>
        <v>2.3800000000000002E-2</v>
      </c>
      <c r="O88" s="356">
        <f t="shared" si="16"/>
        <v>2.2200000000000001E-2</v>
      </c>
      <c r="P88" s="356">
        <f t="shared" si="16"/>
        <v>1.9099999999999999E-2</v>
      </c>
      <c r="Q88" s="356">
        <f t="shared" si="16"/>
        <v>1.5800000000000002E-2</v>
      </c>
      <c r="R88" s="356">
        <f t="shared" si="16"/>
        <v>1.09E-2</v>
      </c>
      <c r="S88" s="453"/>
      <c r="T88" s="454"/>
    </row>
    <row r="89" spans="1:20">
      <c r="A89" s="44" t="s">
        <v>169</v>
      </c>
      <c r="B89" s="54" t="s">
        <v>52</v>
      </c>
      <c r="C89" s="247">
        <v>6.7000000000000004E-2</v>
      </c>
      <c r="D89" s="248">
        <v>0.63039999999999996</v>
      </c>
      <c r="E89" s="249">
        <v>0.65</v>
      </c>
      <c r="F89" s="249">
        <v>0.24946223864843597</v>
      </c>
      <c r="G89" s="280">
        <v>2014</v>
      </c>
      <c r="H89" s="281" t="str">
        <f t="shared" si="6"/>
        <v>£m 09/10</v>
      </c>
      <c r="I89" s="281" t="s">
        <v>264</v>
      </c>
      <c r="J89" s="350" t="s">
        <v>477</v>
      </c>
      <c r="K89" s="358">
        <f t="shared" si="16"/>
        <v>2.92E-2</v>
      </c>
      <c r="L89" s="356">
        <f t="shared" si="16"/>
        <v>2.7199999999999998E-2</v>
      </c>
      <c r="M89" s="356">
        <f t="shared" si="16"/>
        <v>2.5499999999999998E-2</v>
      </c>
      <c r="N89" s="356">
        <f t="shared" si="16"/>
        <v>2.3800000000000002E-2</v>
      </c>
      <c r="O89" s="356">
        <f t="shared" si="16"/>
        <v>2.2200000000000001E-2</v>
      </c>
      <c r="P89" s="356">
        <f t="shared" si="16"/>
        <v>1.9099999999999999E-2</v>
      </c>
      <c r="Q89" s="356">
        <f t="shared" si="16"/>
        <v>1.5800000000000002E-2</v>
      </c>
      <c r="R89" s="356">
        <f t="shared" si="16"/>
        <v>1.09E-2</v>
      </c>
      <c r="S89" s="453"/>
      <c r="T89" s="454"/>
    </row>
    <row r="90" spans="1:20">
      <c r="A90" s="44" t="s">
        <v>169</v>
      </c>
      <c r="B90" s="54" t="s">
        <v>53</v>
      </c>
      <c r="C90" s="247">
        <v>6.7000000000000004E-2</v>
      </c>
      <c r="D90" s="248">
        <v>0.63039999999999996</v>
      </c>
      <c r="E90" s="249">
        <v>0.65</v>
      </c>
      <c r="F90" s="249">
        <v>0.26095352485819256</v>
      </c>
      <c r="G90" s="280">
        <v>2014</v>
      </c>
      <c r="H90" s="281" t="str">
        <f t="shared" si="6"/>
        <v>£m 09/10</v>
      </c>
      <c r="I90" s="281" t="s">
        <v>264</v>
      </c>
      <c r="J90" s="350" t="s">
        <v>477</v>
      </c>
      <c r="K90" s="358">
        <f t="shared" si="16"/>
        <v>2.92E-2</v>
      </c>
      <c r="L90" s="356">
        <f t="shared" si="16"/>
        <v>2.7199999999999998E-2</v>
      </c>
      <c r="M90" s="356">
        <f t="shared" si="16"/>
        <v>2.5499999999999998E-2</v>
      </c>
      <c r="N90" s="356">
        <f t="shared" si="16"/>
        <v>2.3800000000000002E-2</v>
      </c>
      <c r="O90" s="356">
        <f t="shared" si="16"/>
        <v>2.2200000000000001E-2</v>
      </c>
      <c r="P90" s="356">
        <f t="shared" si="16"/>
        <v>1.9099999999999999E-2</v>
      </c>
      <c r="Q90" s="356">
        <f t="shared" si="16"/>
        <v>1.5800000000000002E-2</v>
      </c>
      <c r="R90" s="356">
        <f t="shared" si="16"/>
        <v>1.09E-2</v>
      </c>
      <c r="S90" s="453"/>
      <c r="T90" s="454"/>
    </row>
    <row r="91" spans="1:20">
      <c r="A91" s="44" t="s">
        <v>169</v>
      </c>
      <c r="B91" s="54" t="s">
        <v>47</v>
      </c>
      <c r="C91" s="247">
        <v>6.7000000000000004E-2</v>
      </c>
      <c r="D91" s="248">
        <v>0.63980000000000004</v>
      </c>
      <c r="E91" s="249">
        <v>0.65</v>
      </c>
      <c r="F91" s="249">
        <v>0.34984411379298247</v>
      </c>
      <c r="G91" s="280">
        <v>2014</v>
      </c>
      <c r="H91" s="281" t="str">
        <f t="shared" si="6"/>
        <v>£m 09/10</v>
      </c>
      <c r="I91" s="281" t="s">
        <v>264</v>
      </c>
      <c r="J91" s="350" t="s">
        <v>477</v>
      </c>
      <c r="K91" s="358">
        <f t="shared" si="16"/>
        <v>2.92E-2</v>
      </c>
      <c r="L91" s="356">
        <f t="shared" si="16"/>
        <v>2.7199999999999998E-2</v>
      </c>
      <c r="M91" s="356">
        <f t="shared" si="16"/>
        <v>2.5499999999999998E-2</v>
      </c>
      <c r="N91" s="356">
        <f t="shared" si="16"/>
        <v>2.3800000000000002E-2</v>
      </c>
      <c r="O91" s="356">
        <f t="shared" si="16"/>
        <v>2.2200000000000001E-2</v>
      </c>
      <c r="P91" s="356">
        <f t="shared" si="16"/>
        <v>1.9099999999999999E-2</v>
      </c>
      <c r="Q91" s="356">
        <f t="shared" si="16"/>
        <v>1.5800000000000002E-2</v>
      </c>
      <c r="R91" s="356">
        <f t="shared" si="16"/>
        <v>1.09E-2</v>
      </c>
      <c r="S91" s="453"/>
      <c r="T91" s="454"/>
    </row>
    <row r="92" spans="1:20">
      <c r="A92" s="44" t="s">
        <v>169</v>
      </c>
      <c r="B92" s="54" t="s">
        <v>49</v>
      </c>
      <c r="C92" s="247">
        <v>6.7000000000000004E-2</v>
      </c>
      <c r="D92" s="248">
        <v>0.63729999999999998</v>
      </c>
      <c r="E92" s="249">
        <v>0.65</v>
      </c>
      <c r="F92" s="249">
        <v>0.35129049661183626</v>
      </c>
      <c r="G92" s="280">
        <v>2014</v>
      </c>
      <c r="H92" s="281" t="str">
        <f t="shared" si="6"/>
        <v>£m 09/10</v>
      </c>
      <c r="I92" s="281" t="s">
        <v>264</v>
      </c>
      <c r="J92" s="350" t="s">
        <v>477</v>
      </c>
      <c r="K92" s="358">
        <f t="shared" si="16"/>
        <v>2.92E-2</v>
      </c>
      <c r="L92" s="356">
        <f t="shared" si="16"/>
        <v>2.7199999999999998E-2</v>
      </c>
      <c r="M92" s="356">
        <f t="shared" si="16"/>
        <v>2.5499999999999998E-2</v>
      </c>
      <c r="N92" s="356">
        <f t="shared" si="16"/>
        <v>2.3800000000000002E-2</v>
      </c>
      <c r="O92" s="356">
        <f t="shared" si="16"/>
        <v>2.2200000000000001E-2</v>
      </c>
      <c r="P92" s="356">
        <f t="shared" si="16"/>
        <v>1.9099999999999999E-2</v>
      </c>
      <c r="Q92" s="356">
        <f t="shared" si="16"/>
        <v>1.5800000000000002E-2</v>
      </c>
      <c r="R92" s="356">
        <f t="shared" si="16"/>
        <v>1.09E-2</v>
      </c>
      <c r="S92" s="453"/>
      <c r="T92" s="454"/>
    </row>
    <row r="93" spans="1:20">
      <c r="A93" s="44" t="s">
        <v>169</v>
      </c>
      <c r="B93" s="54" t="s">
        <v>48</v>
      </c>
      <c r="C93" s="247">
        <v>6.7000000000000004E-2</v>
      </c>
      <c r="D93" s="248">
        <v>0.63729999999999998</v>
      </c>
      <c r="E93" s="249">
        <v>0.65</v>
      </c>
      <c r="F93" s="249">
        <v>0.32230855902021693</v>
      </c>
      <c r="G93" s="280">
        <v>2014</v>
      </c>
      <c r="H93" s="281" t="str">
        <f t="shared" si="6"/>
        <v>£m 09/10</v>
      </c>
      <c r="I93" s="281" t="s">
        <v>264</v>
      </c>
      <c r="J93" s="350" t="s">
        <v>477</v>
      </c>
      <c r="K93" s="358">
        <f t="shared" si="16"/>
        <v>2.92E-2</v>
      </c>
      <c r="L93" s="356">
        <f t="shared" si="16"/>
        <v>2.7199999999999998E-2</v>
      </c>
      <c r="M93" s="356">
        <f t="shared" si="16"/>
        <v>2.5499999999999998E-2</v>
      </c>
      <c r="N93" s="356">
        <f t="shared" si="16"/>
        <v>2.3800000000000002E-2</v>
      </c>
      <c r="O93" s="356">
        <f t="shared" si="16"/>
        <v>2.2200000000000001E-2</v>
      </c>
      <c r="P93" s="356">
        <f t="shared" si="16"/>
        <v>1.9099999999999999E-2</v>
      </c>
      <c r="Q93" s="356">
        <f t="shared" si="16"/>
        <v>1.5800000000000002E-2</v>
      </c>
      <c r="R93" s="356">
        <f t="shared" si="16"/>
        <v>1.09E-2</v>
      </c>
      <c r="S93" s="453"/>
      <c r="T93" s="454"/>
    </row>
    <row r="94" spans="1:20">
      <c r="A94" s="44" t="s">
        <v>169</v>
      </c>
      <c r="B94" s="54" t="s">
        <v>46</v>
      </c>
      <c r="C94" s="247">
        <v>6.7000000000000004E-2</v>
      </c>
      <c r="D94" s="248">
        <v>0.63170000000000004</v>
      </c>
      <c r="E94" s="249">
        <v>0.65</v>
      </c>
      <c r="F94" s="249">
        <v>0.35781904469402892</v>
      </c>
      <c r="G94" s="280">
        <v>2014</v>
      </c>
      <c r="H94" s="281" t="str">
        <f t="shared" si="6"/>
        <v>£m 09/10</v>
      </c>
      <c r="I94" s="281" t="s">
        <v>264</v>
      </c>
      <c r="J94" s="350" t="s">
        <v>477</v>
      </c>
      <c r="K94" s="358">
        <f t="shared" si="16"/>
        <v>2.92E-2</v>
      </c>
      <c r="L94" s="356">
        <f t="shared" si="16"/>
        <v>2.7199999999999998E-2</v>
      </c>
      <c r="M94" s="356">
        <f t="shared" si="16"/>
        <v>2.5499999999999998E-2</v>
      </c>
      <c r="N94" s="356">
        <f t="shared" si="16"/>
        <v>2.3800000000000002E-2</v>
      </c>
      <c r="O94" s="356">
        <f t="shared" si="16"/>
        <v>2.2200000000000001E-2</v>
      </c>
      <c r="P94" s="356">
        <f t="shared" si="16"/>
        <v>1.9099999999999999E-2</v>
      </c>
      <c r="Q94" s="356">
        <f t="shared" si="16"/>
        <v>1.5800000000000002E-2</v>
      </c>
      <c r="R94" s="356">
        <f t="shared" si="16"/>
        <v>1.09E-2</v>
      </c>
      <c r="S94" s="453"/>
      <c r="T94" s="454"/>
    </row>
    <row r="95" spans="1:20">
      <c r="A95" s="44" t="s">
        <v>171</v>
      </c>
      <c r="B95" s="54" t="s">
        <v>110</v>
      </c>
      <c r="C95" s="247">
        <v>6.8000000000000005E-2</v>
      </c>
      <c r="D95" s="248">
        <v>0.44359999999999999</v>
      </c>
      <c r="E95" s="249">
        <v>0.625</v>
      </c>
      <c r="F95" s="249">
        <v>0.64400000000000002</v>
      </c>
      <c r="G95" s="280">
        <v>2014</v>
      </c>
      <c r="H95" s="281" t="str">
        <f t="shared" si="6"/>
        <v>£m 09/10</v>
      </c>
      <c r="I95" s="281" t="s">
        <v>264</v>
      </c>
      <c r="J95" s="350" t="s">
        <v>477</v>
      </c>
      <c r="K95" s="358">
        <f t="shared" ref="K95:R96" si="17">C$68</f>
        <v>2.92E-2</v>
      </c>
      <c r="L95" s="356">
        <f t="shared" si="17"/>
        <v>2.7199999999999998E-2</v>
      </c>
      <c r="M95" s="356">
        <f t="shared" si="17"/>
        <v>2.5499999999999998E-2</v>
      </c>
      <c r="N95" s="356">
        <f t="shared" si="17"/>
        <v>2.3800000000000002E-2</v>
      </c>
      <c r="O95" s="356">
        <f t="shared" si="17"/>
        <v>2.2200000000000001E-2</v>
      </c>
      <c r="P95" s="356">
        <f t="shared" si="17"/>
        <v>1.9099999999999999E-2</v>
      </c>
      <c r="Q95" s="356">
        <f t="shared" si="17"/>
        <v>1.5800000000000002E-2</v>
      </c>
      <c r="R95" s="356">
        <f t="shared" si="17"/>
        <v>1.09E-2</v>
      </c>
      <c r="S95" s="453"/>
      <c r="T95" s="454"/>
    </row>
    <row r="96" spans="1:20">
      <c r="A96" s="44" t="s">
        <v>171</v>
      </c>
      <c r="B96" s="54" t="s">
        <v>111</v>
      </c>
      <c r="C96" s="247">
        <v>6.8000000000000005E-2</v>
      </c>
      <c r="D96" s="248">
        <v>0.44359999999999999</v>
      </c>
      <c r="E96" s="249">
        <v>0.625</v>
      </c>
      <c r="F96" s="249">
        <v>0.374</v>
      </c>
      <c r="G96" s="280">
        <v>2014</v>
      </c>
      <c r="H96" s="281" t="str">
        <f t="shared" si="6"/>
        <v>£m 09/10</v>
      </c>
      <c r="I96" s="281" t="s">
        <v>264</v>
      </c>
      <c r="J96" s="350" t="s">
        <v>477</v>
      </c>
      <c r="K96" s="358">
        <f t="shared" si="17"/>
        <v>2.92E-2</v>
      </c>
      <c r="L96" s="356">
        <f t="shared" si="17"/>
        <v>2.7199999999999998E-2</v>
      </c>
      <c r="M96" s="356">
        <f t="shared" si="17"/>
        <v>2.5499999999999998E-2</v>
      </c>
      <c r="N96" s="356">
        <f t="shared" si="17"/>
        <v>2.3800000000000002E-2</v>
      </c>
      <c r="O96" s="356">
        <f t="shared" si="17"/>
        <v>2.2200000000000001E-2</v>
      </c>
      <c r="P96" s="356">
        <f t="shared" si="17"/>
        <v>1.9099999999999999E-2</v>
      </c>
      <c r="Q96" s="356">
        <f t="shared" si="17"/>
        <v>1.5800000000000002E-2</v>
      </c>
      <c r="R96" s="356">
        <f t="shared" si="17"/>
        <v>1.09E-2</v>
      </c>
      <c r="S96" s="453"/>
      <c r="T96" s="454"/>
    </row>
    <row r="97" spans="1:20">
      <c r="A97" s="44" t="s">
        <v>170</v>
      </c>
      <c r="B97" s="54" t="s">
        <v>108</v>
      </c>
      <c r="C97" s="247">
        <v>7.0000000000000007E-2</v>
      </c>
      <c r="D97" s="248">
        <v>0.46889999999999998</v>
      </c>
      <c r="E97" s="249">
        <v>0.6</v>
      </c>
      <c r="F97" s="249">
        <v>0.85</v>
      </c>
      <c r="G97" s="280">
        <v>2014</v>
      </c>
      <c r="H97" s="281" t="str">
        <f t="shared" si="6"/>
        <v>£m 09/10</v>
      </c>
      <c r="I97" s="281" t="s">
        <v>264</v>
      </c>
      <c r="J97" s="350" t="s">
        <v>477</v>
      </c>
      <c r="K97" s="358">
        <f t="shared" ref="K97:R99" si="18">C$66</f>
        <v>2.92E-2</v>
      </c>
      <c r="L97" s="356">
        <f t="shared" si="18"/>
        <v>2.7199999999999998E-2</v>
      </c>
      <c r="M97" s="356">
        <f t="shared" si="18"/>
        <v>2.5499999999999998E-2</v>
      </c>
      <c r="N97" s="356">
        <f t="shared" si="18"/>
        <v>2.3800000000000002E-2</v>
      </c>
      <c r="O97" s="356">
        <f t="shared" si="18"/>
        <v>2.2200000000000001E-2</v>
      </c>
      <c r="P97" s="356">
        <f t="shared" si="18"/>
        <v>1.9099999999999999E-2</v>
      </c>
      <c r="Q97" s="356">
        <f t="shared" si="18"/>
        <v>1.5800000000000002E-2</v>
      </c>
      <c r="R97" s="356">
        <f t="shared" si="18"/>
        <v>1.09E-2</v>
      </c>
      <c r="S97" s="453"/>
      <c r="T97" s="454"/>
    </row>
    <row r="98" spans="1:20">
      <c r="A98" s="44" t="s">
        <v>170</v>
      </c>
      <c r="B98" s="54" t="s">
        <v>570</v>
      </c>
      <c r="C98" s="247">
        <v>7.0000000000000007E-2</v>
      </c>
      <c r="D98" s="248">
        <v>0.46889999999999998</v>
      </c>
      <c r="E98" s="249">
        <v>0.6</v>
      </c>
      <c r="F98" s="249">
        <v>0.27900000000000003</v>
      </c>
      <c r="G98" s="266">
        <v>2014</v>
      </c>
      <c r="H98" s="267" t="str">
        <f>VLOOKUP($A98,$E$54:$F$57,2,FALSE)</f>
        <v>£m 09/10</v>
      </c>
      <c r="I98" s="264" t="s">
        <v>264</v>
      </c>
      <c r="J98" s="350" t="s">
        <v>477</v>
      </c>
      <c r="K98" s="358">
        <f t="shared" si="18"/>
        <v>2.92E-2</v>
      </c>
      <c r="L98" s="356">
        <f t="shared" si="18"/>
        <v>2.7199999999999998E-2</v>
      </c>
      <c r="M98" s="356">
        <f t="shared" si="18"/>
        <v>2.5499999999999998E-2</v>
      </c>
      <c r="N98" s="356">
        <f t="shared" si="18"/>
        <v>2.3800000000000002E-2</v>
      </c>
      <c r="O98" s="356">
        <f t="shared" si="18"/>
        <v>2.2200000000000001E-2</v>
      </c>
      <c r="P98" s="356">
        <f t="shared" si="18"/>
        <v>1.9099999999999999E-2</v>
      </c>
      <c r="Q98" s="356">
        <f t="shared" si="18"/>
        <v>1.5800000000000002E-2</v>
      </c>
      <c r="R98" s="356">
        <f t="shared" si="18"/>
        <v>1.09E-2</v>
      </c>
      <c r="S98" s="453"/>
      <c r="T98" s="454"/>
    </row>
    <row r="99" spans="1:20">
      <c r="A99" s="44" t="s">
        <v>170</v>
      </c>
      <c r="B99" s="54" t="s">
        <v>57</v>
      </c>
      <c r="C99" s="247">
        <v>7.0000000000000007E-2</v>
      </c>
      <c r="D99" s="248">
        <v>0.5</v>
      </c>
      <c r="E99" s="249">
        <v>0.55000000000000004</v>
      </c>
      <c r="F99" s="249">
        <v>0.9</v>
      </c>
      <c r="G99" s="266">
        <v>2014</v>
      </c>
      <c r="H99" s="267" t="str">
        <f>VLOOKUP($A99,$E$54:$F$57,2,FALSE)</f>
        <v>£m 09/10</v>
      </c>
      <c r="I99" s="264" t="s">
        <v>265</v>
      </c>
      <c r="J99" s="350" t="s">
        <v>477</v>
      </c>
      <c r="K99" s="358">
        <f t="shared" si="18"/>
        <v>2.92E-2</v>
      </c>
      <c r="L99" s="356">
        <f t="shared" si="18"/>
        <v>2.7199999999999998E-2</v>
      </c>
      <c r="M99" s="356">
        <f t="shared" si="18"/>
        <v>2.5499999999999998E-2</v>
      </c>
      <c r="N99" s="356">
        <f t="shared" si="18"/>
        <v>2.3800000000000002E-2</v>
      </c>
      <c r="O99" s="356">
        <f t="shared" si="18"/>
        <v>2.2200000000000001E-2</v>
      </c>
      <c r="P99" s="356">
        <f t="shared" si="18"/>
        <v>1.9099999999999999E-2</v>
      </c>
      <c r="Q99" s="356">
        <f t="shared" si="18"/>
        <v>1.5800000000000002E-2</v>
      </c>
      <c r="R99" s="356">
        <f t="shared" si="18"/>
        <v>1.09E-2</v>
      </c>
      <c r="S99" s="453"/>
      <c r="T99" s="454"/>
    </row>
    <row r="100" spans="1:20">
      <c r="A100" s="44" t="s">
        <v>170</v>
      </c>
      <c r="B100" s="55" t="s">
        <v>58</v>
      </c>
      <c r="C100" s="250">
        <v>7.0000000000000007E-2</v>
      </c>
      <c r="D100" s="251">
        <v>0.5</v>
      </c>
      <c r="E100" s="252">
        <v>0.55000000000000004</v>
      </c>
      <c r="F100" s="252">
        <v>0.9</v>
      </c>
      <c r="G100" s="268">
        <v>2014</v>
      </c>
      <c r="H100" s="269" t="str">
        <f>VLOOKUP($A100,$E$54:$F$57,2,FALSE)</f>
        <v>£m 09/10</v>
      </c>
      <c r="I100" s="265" t="s">
        <v>265</v>
      </c>
      <c r="J100" s="350" t="s">
        <v>477</v>
      </c>
      <c r="K100" s="359">
        <f t="shared" ref="K100:R100" si="19">C$65</f>
        <v>2.92E-2</v>
      </c>
      <c r="L100" s="357">
        <f t="shared" si="19"/>
        <v>2.5000000000000001E-2</v>
      </c>
      <c r="M100" s="357">
        <f t="shared" si="19"/>
        <v>2.1499999999999998E-2</v>
      </c>
      <c r="N100" s="357">
        <f t="shared" si="19"/>
        <v>1.7899999999999999E-2</v>
      </c>
      <c r="O100" s="357">
        <f t="shared" si="19"/>
        <v>1.5100000000000001E-2</v>
      </c>
      <c r="P100" s="357">
        <f t="shared" si="19"/>
        <v>1.1599999999999999E-2</v>
      </c>
      <c r="Q100" s="357">
        <f t="shared" si="19"/>
        <v>1.0200000000000001E-2</v>
      </c>
      <c r="R100" s="357">
        <f t="shared" si="19"/>
        <v>7.6E-3</v>
      </c>
      <c r="S100" s="455"/>
      <c r="T100" s="456"/>
    </row>
    <row r="101" spans="1:20">
      <c r="I101" s="49"/>
    </row>
    <row r="102" spans="1:20">
      <c r="I102" s="49"/>
    </row>
    <row r="103" spans="1:20">
      <c r="I103" s="49"/>
    </row>
    <row r="104" spans="1:20" ht="13.5">
      <c r="B104" s="13" t="s">
        <v>245</v>
      </c>
      <c r="D104" s="238"/>
      <c r="E104" s="238"/>
      <c r="F104" s="238"/>
      <c r="G104" s="238"/>
      <c r="H104" s="238"/>
      <c r="I104" s="238"/>
      <c r="J104" s="238"/>
    </row>
    <row r="105" spans="1:20">
      <c r="B105" s="13"/>
      <c r="C105" s="99">
        <v>2014</v>
      </c>
      <c r="D105" s="100">
        <f>C105+1</f>
        <v>2015</v>
      </c>
      <c r="E105" s="100">
        <f t="shared" ref="E105:J105" si="20">D105+1</f>
        <v>2016</v>
      </c>
      <c r="F105" s="100">
        <f>E105+1</f>
        <v>2017</v>
      </c>
      <c r="G105" s="100">
        <f t="shared" si="20"/>
        <v>2018</v>
      </c>
      <c r="H105" s="100">
        <f t="shared" si="20"/>
        <v>2019</v>
      </c>
      <c r="I105" s="100">
        <f t="shared" si="20"/>
        <v>2020</v>
      </c>
      <c r="J105" s="100">
        <f t="shared" si="20"/>
        <v>2021</v>
      </c>
    </row>
    <row r="106" spans="1:20">
      <c r="B106" s="242" t="s">
        <v>50</v>
      </c>
      <c r="C106" s="239">
        <v>0.5</v>
      </c>
      <c r="D106" s="239">
        <v>0.5714285714285714</v>
      </c>
      <c r="E106" s="239">
        <v>0.64285714285714279</v>
      </c>
      <c r="F106" s="239">
        <v>0.71428571428571419</v>
      </c>
      <c r="G106" s="239">
        <v>0.78571428571428559</v>
      </c>
      <c r="H106" s="239">
        <v>0.85714285714285698</v>
      </c>
      <c r="I106" s="239">
        <v>0.92857142857142838</v>
      </c>
      <c r="J106" s="240">
        <v>1</v>
      </c>
    </row>
    <row r="107" spans="1:20">
      <c r="B107" s="243" t="s">
        <v>51</v>
      </c>
      <c r="C107" s="180">
        <v>0.5</v>
      </c>
      <c r="D107" s="180">
        <v>0.5714285714285714</v>
      </c>
      <c r="E107" s="180">
        <v>0.64285714285714279</v>
      </c>
      <c r="F107" s="180">
        <v>0.71428571428571419</v>
      </c>
      <c r="G107" s="180">
        <v>0.78571428571428559</v>
      </c>
      <c r="H107" s="180">
        <v>0.85714285714285698</v>
      </c>
      <c r="I107" s="180">
        <v>0.92857142857142838</v>
      </c>
      <c r="J107" s="181">
        <v>1</v>
      </c>
    </row>
    <row r="108" spans="1:20">
      <c r="B108" s="243" t="s">
        <v>52</v>
      </c>
      <c r="C108" s="180">
        <v>0.5</v>
      </c>
      <c r="D108" s="180">
        <v>0.5714285714285714</v>
      </c>
      <c r="E108" s="180">
        <v>0.64285714285714279</v>
      </c>
      <c r="F108" s="180">
        <v>0.71428571428571419</v>
      </c>
      <c r="G108" s="180">
        <v>0.78571428571428559</v>
      </c>
      <c r="H108" s="180">
        <v>0.85714285714285698</v>
      </c>
      <c r="I108" s="180">
        <v>0.92857142857142838</v>
      </c>
      <c r="J108" s="181">
        <v>1</v>
      </c>
    </row>
    <row r="109" spans="1:20">
      <c r="B109" s="243" t="s">
        <v>53</v>
      </c>
      <c r="C109" s="180">
        <v>0.5</v>
      </c>
      <c r="D109" s="180">
        <v>0.5714285714285714</v>
      </c>
      <c r="E109" s="180">
        <v>0.64285714285714279</v>
      </c>
      <c r="F109" s="180">
        <v>0.71428571428571419</v>
      </c>
      <c r="G109" s="180">
        <v>0.78571428571428559</v>
      </c>
      <c r="H109" s="180">
        <v>0.85714285714285698</v>
      </c>
      <c r="I109" s="180">
        <v>0.92857142857142838</v>
      </c>
      <c r="J109" s="181">
        <v>1</v>
      </c>
    </row>
    <row r="110" spans="1:20">
      <c r="B110" s="243" t="s">
        <v>47</v>
      </c>
      <c r="C110" s="180">
        <v>0.5</v>
      </c>
      <c r="D110" s="180">
        <v>0.5714285714285714</v>
      </c>
      <c r="E110" s="180">
        <v>0.64285714285714279</v>
      </c>
      <c r="F110" s="180">
        <v>0.71428571428571419</v>
      </c>
      <c r="G110" s="180">
        <v>0.78571428571428559</v>
      </c>
      <c r="H110" s="180">
        <v>0.85714285714285698</v>
      </c>
      <c r="I110" s="180">
        <v>0.92857142857142838</v>
      </c>
      <c r="J110" s="181">
        <v>1</v>
      </c>
    </row>
    <row r="111" spans="1:20">
      <c r="B111" s="243" t="s">
        <v>49</v>
      </c>
      <c r="C111" s="180">
        <v>0.5</v>
      </c>
      <c r="D111" s="180">
        <v>0.5714285714285714</v>
      </c>
      <c r="E111" s="180">
        <v>0.64285714285714279</v>
      </c>
      <c r="F111" s="180">
        <v>0.71428571428571419</v>
      </c>
      <c r="G111" s="180">
        <v>0.78571428571428559</v>
      </c>
      <c r="H111" s="180">
        <v>0.85714285714285698</v>
      </c>
      <c r="I111" s="180">
        <v>0.92857142857142838</v>
      </c>
      <c r="J111" s="181">
        <v>1</v>
      </c>
    </row>
    <row r="112" spans="1:20">
      <c r="B112" s="243" t="s">
        <v>48</v>
      </c>
      <c r="C112" s="180">
        <v>0.5</v>
      </c>
      <c r="D112" s="180">
        <v>0.5714285714285714</v>
      </c>
      <c r="E112" s="180">
        <v>0.64285714285714279</v>
      </c>
      <c r="F112" s="180">
        <v>0.71428571428571419</v>
      </c>
      <c r="G112" s="180">
        <v>0.78571428571428559</v>
      </c>
      <c r="H112" s="180">
        <v>0.85714285714285698</v>
      </c>
      <c r="I112" s="180">
        <v>0.92857142857142838</v>
      </c>
      <c r="J112" s="181">
        <v>1</v>
      </c>
    </row>
    <row r="113" spans="2:15">
      <c r="B113" s="343" t="s">
        <v>46</v>
      </c>
      <c r="C113" s="344">
        <v>0.5</v>
      </c>
      <c r="D113" s="344">
        <v>0.5714285714285714</v>
      </c>
      <c r="E113" s="344">
        <v>0.64285714285714279</v>
      </c>
      <c r="F113" s="344">
        <v>0.71428571428571419</v>
      </c>
      <c r="G113" s="344">
        <v>0.78571428571428559</v>
      </c>
      <c r="H113" s="344">
        <v>0.85714285714285698</v>
      </c>
      <c r="I113" s="344">
        <v>0.92857142857142838</v>
      </c>
      <c r="J113" s="345">
        <v>1</v>
      </c>
    </row>
    <row r="114" spans="2:15">
      <c r="B114" s="243" t="s">
        <v>110</v>
      </c>
      <c r="C114" s="180">
        <v>0.9</v>
      </c>
      <c r="D114" s="180">
        <v>0.9</v>
      </c>
      <c r="E114" s="180">
        <v>0.9</v>
      </c>
      <c r="F114" s="180">
        <v>0.9</v>
      </c>
      <c r="G114" s="180">
        <v>0.9</v>
      </c>
      <c r="H114" s="180">
        <v>0.9</v>
      </c>
      <c r="I114" s="180">
        <v>0.9</v>
      </c>
      <c r="J114" s="181">
        <v>0.9</v>
      </c>
    </row>
    <row r="115" spans="2:15">
      <c r="B115" s="244" t="s">
        <v>111</v>
      </c>
      <c r="C115" s="460"/>
      <c r="D115" s="460"/>
      <c r="E115" s="460"/>
      <c r="F115" s="460"/>
      <c r="G115" s="460"/>
      <c r="H115" s="460"/>
      <c r="I115" s="460"/>
      <c r="J115" s="460"/>
    </row>
    <row r="116" spans="2:15">
      <c r="B116" s="325"/>
      <c r="C116" s="382"/>
      <c r="D116" s="382"/>
      <c r="E116" s="382"/>
      <c r="F116" s="382"/>
      <c r="G116" s="382"/>
      <c r="H116" s="382"/>
      <c r="I116" s="382"/>
      <c r="J116" s="382"/>
      <c r="M116" s="27"/>
      <c r="N116" s="27"/>
      <c r="O116" s="27"/>
    </row>
    <row r="117" spans="2:15">
      <c r="B117" s="325"/>
      <c r="C117" s="382"/>
      <c r="D117" s="382"/>
      <c r="E117" s="382"/>
      <c r="F117" s="382"/>
      <c r="G117" s="382"/>
      <c r="H117" s="382"/>
      <c r="I117" s="382"/>
      <c r="J117" s="382"/>
      <c r="K117" s="298"/>
      <c r="L117" s="298"/>
      <c r="M117" s="27"/>
      <c r="N117" s="27"/>
      <c r="O117" s="27"/>
    </row>
    <row r="118" spans="2:15">
      <c r="B118" s="392" t="s">
        <v>210</v>
      </c>
      <c r="C118" s="99">
        <v>2014</v>
      </c>
      <c r="D118" s="100">
        <f t="shared" ref="D118:L118" si="21">C118+1</f>
        <v>2015</v>
      </c>
      <c r="E118" s="100">
        <f t="shared" si="21"/>
        <v>2016</v>
      </c>
      <c r="F118" s="100">
        <f t="shared" si="21"/>
        <v>2017</v>
      </c>
      <c r="G118" s="100">
        <f t="shared" si="21"/>
        <v>2018</v>
      </c>
      <c r="H118" s="100">
        <f t="shared" si="21"/>
        <v>2019</v>
      </c>
      <c r="I118" s="100">
        <f t="shared" si="21"/>
        <v>2020</v>
      </c>
      <c r="J118" s="100">
        <f t="shared" si="21"/>
        <v>2021</v>
      </c>
      <c r="K118" s="100">
        <f t="shared" si="21"/>
        <v>2022</v>
      </c>
      <c r="L118" s="157">
        <f t="shared" si="21"/>
        <v>2023</v>
      </c>
      <c r="M118" s="27"/>
      <c r="N118" s="27"/>
      <c r="O118" s="27"/>
    </row>
    <row r="119" spans="2:15">
      <c r="B119" s="383" t="s">
        <v>40</v>
      </c>
      <c r="C119" s="457"/>
      <c r="D119" s="458"/>
      <c r="E119" s="385">
        <v>1.5575632164737283</v>
      </c>
      <c r="F119" s="385">
        <v>1.4734141240658321</v>
      </c>
      <c r="G119" s="385">
        <v>1.4689588897025405</v>
      </c>
      <c r="H119" s="385">
        <v>1.4707200530126929</v>
      </c>
      <c r="I119" s="385">
        <v>1.4674716260161711</v>
      </c>
      <c r="J119" s="385">
        <v>1.4486206224386007</v>
      </c>
      <c r="K119" s="385">
        <v>1.4956798325868756</v>
      </c>
      <c r="L119" s="386">
        <v>1.4397148718051931</v>
      </c>
      <c r="M119" s="27"/>
      <c r="N119" s="27"/>
      <c r="O119" s="27"/>
    </row>
    <row r="120" spans="2:15">
      <c r="B120" s="383" t="s">
        <v>41</v>
      </c>
      <c r="C120" s="459"/>
      <c r="D120" s="460"/>
      <c r="E120" s="387">
        <v>-0.65871781800535345</v>
      </c>
      <c r="F120" s="387">
        <v>-0.63543772576063684</v>
      </c>
      <c r="G120" s="387">
        <v>-0.58907862874233818</v>
      </c>
      <c r="H120" s="387">
        <v>-0.58178188190178026</v>
      </c>
      <c r="I120" s="387">
        <v>-0.56823918867341305</v>
      </c>
      <c r="J120" s="387">
        <v>-0.51933170333654122</v>
      </c>
      <c r="K120" s="387">
        <v>-0.47962665852661612</v>
      </c>
      <c r="L120" s="388">
        <v>-0.4656874701170608</v>
      </c>
      <c r="M120" s="27"/>
      <c r="N120" s="27"/>
      <c r="O120" s="27"/>
    </row>
    <row r="121" spans="2:15">
      <c r="B121" s="383" t="s">
        <v>70</v>
      </c>
      <c r="C121" s="459"/>
      <c r="D121" s="460"/>
      <c r="E121" s="387">
        <v>-0.86626036283610952</v>
      </c>
      <c r="F121" s="387">
        <v>-0.81019773780890636</v>
      </c>
      <c r="G121" s="387">
        <v>-0.78919084241395188</v>
      </c>
      <c r="H121" s="387">
        <v>-0.79061873066036981</v>
      </c>
      <c r="I121" s="387">
        <v>-0.74432653414361061</v>
      </c>
      <c r="J121" s="387">
        <v>-0.70697274816976396</v>
      </c>
      <c r="K121" s="387">
        <v>-0.65350946162011747</v>
      </c>
      <c r="L121" s="388">
        <v>-0.66429758885743451</v>
      </c>
      <c r="M121" s="27"/>
      <c r="N121" s="27"/>
      <c r="O121" s="27"/>
    </row>
    <row r="122" spans="2:15">
      <c r="B122" s="383" t="s">
        <v>56</v>
      </c>
      <c r="C122" s="459"/>
      <c r="D122" s="460"/>
      <c r="E122" s="387">
        <v>-3.2612134183503572</v>
      </c>
      <c r="F122" s="387">
        <v>-3.3462554451402173</v>
      </c>
      <c r="G122" s="387">
        <v>-3.1732919768141143</v>
      </c>
      <c r="H122" s="387">
        <v>-3.1232404745251841</v>
      </c>
      <c r="I122" s="387">
        <v>-3.0767551306224106</v>
      </c>
      <c r="J122" s="387">
        <v>-2.9342177182087767</v>
      </c>
      <c r="K122" s="387">
        <v>-2.8825938479182072</v>
      </c>
      <c r="L122" s="388">
        <v>-2.7237011003750218</v>
      </c>
      <c r="M122" s="27"/>
      <c r="N122" s="27"/>
      <c r="O122" s="27"/>
    </row>
    <row r="123" spans="2:15">
      <c r="B123" s="383" t="s">
        <v>54</v>
      </c>
      <c r="C123" s="459"/>
      <c r="D123" s="460"/>
      <c r="E123" s="387">
        <v>-2.4260972367898193</v>
      </c>
      <c r="F123" s="387">
        <v>-2.3690383662844163</v>
      </c>
      <c r="G123" s="387">
        <v>-2.2433276600060932</v>
      </c>
      <c r="H123" s="387">
        <v>-2.1466020621213828</v>
      </c>
      <c r="I123" s="387">
        <v>-2.174009678716605</v>
      </c>
      <c r="J123" s="387">
        <v>-2.0538927838998693</v>
      </c>
      <c r="K123" s="387">
        <v>-1.9044581231060691</v>
      </c>
      <c r="L123" s="388">
        <v>-1.8008611131009082</v>
      </c>
      <c r="M123" s="27"/>
      <c r="N123" s="27"/>
      <c r="O123" s="27"/>
    </row>
    <row r="124" spans="2:15">
      <c r="B124" s="383" t="s">
        <v>55</v>
      </c>
      <c r="C124" s="459"/>
      <c r="D124" s="460"/>
      <c r="E124" s="387">
        <v>-2.1861012409352765</v>
      </c>
      <c r="F124" s="387">
        <v>-2.3820447425774849</v>
      </c>
      <c r="G124" s="387">
        <v>-2.2418672366929897</v>
      </c>
      <c r="H124" s="387">
        <v>-2.1147812646907029</v>
      </c>
      <c r="I124" s="387">
        <v>-2.0146177086326591</v>
      </c>
      <c r="J124" s="387">
        <v>-1.9421313262105093</v>
      </c>
      <c r="K124" s="387">
        <v>-1.9248856430948595</v>
      </c>
      <c r="L124" s="388">
        <v>-1.8464451304225615</v>
      </c>
      <c r="M124" s="27"/>
      <c r="N124" s="27"/>
      <c r="O124" s="27"/>
    </row>
    <row r="125" spans="2:15">
      <c r="B125" s="383" t="s">
        <v>42</v>
      </c>
      <c r="C125" s="459"/>
      <c r="D125" s="460"/>
      <c r="E125" s="387">
        <v>-1.8633532543800757</v>
      </c>
      <c r="F125" s="387">
        <v>-1.8182980405067262</v>
      </c>
      <c r="G125" s="387">
        <v>-1.83946756302578</v>
      </c>
      <c r="H125" s="387">
        <v>-1.7415973428180247</v>
      </c>
      <c r="I125" s="387">
        <v>-1.6798002111470465</v>
      </c>
      <c r="J125" s="387">
        <v>-1.5974456358596774</v>
      </c>
      <c r="K125" s="387">
        <v>-1.5016396120831343</v>
      </c>
      <c r="L125" s="388">
        <v>-1.4453638876860204</v>
      </c>
      <c r="M125" s="27"/>
      <c r="N125" s="27"/>
      <c r="O125" s="27"/>
    </row>
    <row r="126" spans="2:15">
      <c r="B126" s="383" t="s">
        <v>43</v>
      </c>
      <c r="C126" s="459"/>
      <c r="D126" s="460"/>
      <c r="E126" s="387">
        <v>-2.1317145269512103</v>
      </c>
      <c r="F126" s="387">
        <v>-2.193973633026753</v>
      </c>
      <c r="G126" s="387">
        <v>-1.9869010217130036</v>
      </c>
      <c r="H126" s="387">
        <v>-1.8037552784318813</v>
      </c>
      <c r="I126" s="387">
        <v>-1.7767942495618843</v>
      </c>
      <c r="J126" s="387">
        <v>-1.7901472583807538</v>
      </c>
      <c r="K126" s="387">
        <v>-1.6444113686346382</v>
      </c>
      <c r="L126" s="388">
        <v>-1.467384504290556</v>
      </c>
      <c r="M126" s="27"/>
      <c r="N126" s="27"/>
      <c r="O126" s="27"/>
    </row>
    <row r="127" spans="2:15">
      <c r="B127" s="383" t="s">
        <v>44</v>
      </c>
      <c r="C127" s="459"/>
      <c r="D127" s="460"/>
      <c r="E127" s="387">
        <v>0.16599721814464838</v>
      </c>
      <c r="F127" s="387">
        <v>0.16631900606776751</v>
      </c>
      <c r="G127" s="387">
        <v>0.16554337895881124</v>
      </c>
      <c r="H127" s="387">
        <v>0.16569741136821181</v>
      </c>
      <c r="I127" s="387">
        <v>0.16622630759870036</v>
      </c>
      <c r="J127" s="387">
        <v>0.16380302414374548</v>
      </c>
      <c r="K127" s="387">
        <v>0.16593344617950709</v>
      </c>
      <c r="L127" s="388">
        <v>0.16036688822048883</v>
      </c>
      <c r="M127" s="27"/>
      <c r="N127" s="27"/>
      <c r="O127" s="27"/>
    </row>
    <row r="128" spans="2:15">
      <c r="B128" s="383" t="s">
        <v>45</v>
      </c>
      <c r="C128" s="459"/>
      <c r="D128" s="460"/>
      <c r="E128" s="387">
        <v>0.3648271976377423</v>
      </c>
      <c r="F128" s="387">
        <v>0.37109083837102003</v>
      </c>
      <c r="G128" s="387">
        <v>0.36071859106606846</v>
      </c>
      <c r="H128" s="387">
        <v>0.35927814835295946</v>
      </c>
      <c r="I128" s="387">
        <v>0.3227419487574148</v>
      </c>
      <c r="J128" s="387">
        <v>0.32139075529498529</v>
      </c>
      <c r="K128" s="387">
        <v>0.32876178406363676</v>
      </c>
      <c r="L128" s="388">
        <v>0.31920430794598709</v>
      </c>
      <c r="M128" s="27"/>
      <c r="N128" s="27"/>
      <c r="O128" s="27"/>
    </row>
    <row r="129" spans="2:15">
      <c r="B129" s="383" t="s">
        <v>241</v>
      </c>
      <c r="C129" s="459"/>
      <c r="D129" s="460"/>
      <c r="E129" s="387">
        <v>7.1281196754416492</v>
      </c>
      <c r="F129" s="387">
        <v>6.9674138399666772</v>
      </c>
      <c r="G129" s="387">
        <v>6.2034025893135132</v>
      </c>
      <c r="H129" s="387">
        <v>6.3085978915797085</v>
      </c>
      <c r="I129" s="387">
        <v>6.2376648400128394</v>
      </c>
      <c r="J129" s="387">
        <v>6.4865819943041139</v>
      </c>
      <c r="K129" s="387">
        <v>6.8152516624832584</v>
      </c>
      <c r="L129" s="388">
        <v>6.6271056201039169</v>
      </c>
      <c r="M129" s="27"/>
      <c r="N129" s="27"/>
      <c r="O129" s="27"/>
    </row>
    <row r="130" spans="2:15">
      <c r="B130" s="383" t="s">
        <v>242</v>
      </c>
      <c r="C130" s="459"/>
      <c r="D130" s="460"/>
      <c r="E130" s="387">
        <v>6.5079014730517413</v>
      </c>
      <c r="F130" s="387">
        <v>6.5166167406950333</v>
      </c>
      <c r="G130" s="387">
        <v>6.3292456496722922</v>
      </c>
      <c r="H130" s="387">
        <v>6.4407397408462082</v>
      </c>
      <c r="I130" s="387">
        <v>6.6367331985058957</v>
      </c>
      <c r="J130" s="387">
        <v>6.7568163761394304</v>
      </c>
      <c r="K130" s="387">
        <v>6.6961234445143969</v>
      </c>
      <c r="L130" s="388">
        <v>6.7647427548792596</v>
      </c>
      <c r="M130" s="27"/>
      <c r="N130" s="27"/>
      <c r="O130" s="27"/>
    </row>
    <row r="131" spans="2:15">
      <c r="B131" s="383" t="s">
        <v>243</v>
      </c>
      <c r="C131" s="459"/>
      <c r="D131" s="460"/>
      <c r="E131" s="387">
        <v>3.6763138465229663</v>
      </c>
      <c r="F131" s="387">
        <v>3.6748350873956013</v>
      </c>
      <c r="G131" s="387">
        <v>3.4998529635433906</v>
      </c>
      <c r="H131" s="387">
        <v>3.724685546648324</v>
      </c>
      <c r="I131" s="387">
        <v>3.4121739487309477</v>
      </c>
      <c r="J131" s="387">
        <v>3.4202241027689042</v>
      </c>
      <c r="K131" s="387">
        <v>3.3053549439575329</v>
      </c>
      <c r="L131" s="388">
        <v>3.3633285641010966</v>
      </c>
      <c r="M131" s="27"/>
      <c r="N131" s="27"/>
      <c r="O131" s="27"/>
    </row>
    <row r="132" spans="2:15">
      <c r="B132" s="383" t="s">
        <v>244</v>
      </c>
      <c r="C132" s="459"/>
      <c r="D132" s="460"/>
      <c r="E132" s="387">
        <v>5.3762701961708466</v>
      </c>
      <c r="F132" s="387">
        <v>5.3775969760840585</v>
      </c>
      <c r="G132" s="387">
        <v>5.2618102801807671</v>
      </c>
      <c r="H132" s="387">
        <v>5.360849180672294</v>
      </c>
      <c r="I132" s="387">
        <v>5.2665238228731912</v>
      </c>
      <c r="J132" s="387">
        <v>5.3271179030285305</v>
      </c>
      <c r="K132" s="387">
        <v>5.3223294006601192</v>
      </c>
      <c r="L132" s="388">
        <v>5.5699880746272257</v>
      </c>
      <c r="M132" s="27"/>
      <c r="N132" s="27"/>
      <c r="O132" s="27"/>
    </row>
    <row r="133" spans="2:15">
      <c r="B133" s="383" t="s">
        <v>50</v>
      </c>
      <c r="C133" s="389">
        <v>1.4371556068940596</v>
      </c>
      <c r="D133" s="387">
        <v>1.3718015630879741</v>
      </c>
      <c r="E133" s="387">
        <v>1.3507660107019517</v>
      </c>
      <c r="F133" s="387">
        <v>1.356812198977974</v>
      </c>
      <c r="G133" s="387">
        <v>1.3598136386487443</v>
      </c>
      <c r="H133" s="387">
        <v>1.3501475065962032</v>
      </c>
      <c r="I133" s="387">
        <v>1.3298433305384654</v>
      </c>
      <c r="J133" s="387">
        <v>1.3174540960763355</v>
      </c>
      <c r="K133" s="460"/>
      <c r="L133" s="461"/>
      <c r="M133" s="27"/>
      <c r="N133" s="27"/>
      <c r="O133" s="27"/>
    </row>
    <row r="134" spans="2:15">
      <c r="B134" s="383" t="s">
        <v>51</v>
      </c>
      <c r="C134" s="389">
        <v>1.2224510767557433</v>
      </c>
      <c r="D134" s="387">
        <v>1.2198157429394254</v>
      </c>
      <c r="E134" s="387">
        <v>1.2942164825881293</v>
      </c>
      <c r="F134" s="387">
        <v>1.2596396269108345</v>
      </c>
      <c r="G134" s="387">
        <v>1.2840112184368913</v>
      </c>
      <c r="H134" s="387">
        <v>1.2678511857965422</v>
      </c>
      <c r="I134" s="387">
        <v>1.2592019055105816</v>
      </c>
      <c r="J134" s="387">
        <v>1.257376658609527</v>
      </c>
      <c r="K134" s="460"/>
      <c r="L134" s="461"/>
      <c r="M134" s="27"/>
      <c r="N134" s="27"/>
      <c r="O134" s="27"/>
    </row>
    <row r="135" spans="2:15">
      <c r="B135" s="383" t="s">
        <v>52</v>
      </c>
      <c r="C135" s="389">
        <v>0.82325002294811445</v>
      </c>
      <c r="D135" s="387">
        <v>0.82663571281128501</v>
      </c>
      <c r="E135" s="387">
        <v>0.79640504595610451</v>
      </c>
      <c r="F135" s="387">
        <v>0.78757021450124798</v>
      </c>
      <c r="G135" s="387">
        <v>0.81133252861207505</v>
      </c>
      <c r="H135" s="387">
        <v>0.81064228783969072</v>
      </c>
      <c r="I135" s="387">
        <v>0.80900368952296353</v>
      </c>
      <c r="J135" s="387">
        <v>0.78043276967968189</v>
      </c>
      <c r="K135" s="460"/>
      <c r="L135" s="461"/>
      <c r="M135" s="27"/>
      <c r="N135" s="27"/>
      <c r="O135" s="27"/>
    </row>
    <row r="136" spans="2:15">
      <c r="B136" s="383" t="s">
        <v>53</v>
      </c>
      <c r="C136" s="389">
        <v>1.0893959849781105</v>
      </c>
      <c r="D136" s="387">
        <v>1.027913194554035</v>
      </c>
      <c r="E136" s="387">
        <v>1.0066987144123654</v>
      </c>
      <c r="F136" s="387">
        <v>1.0192350900597893</v>
      </c>
      <c r="G136" s="387">
        <v>1.0341480780318344</v>
      </c>
      <c r="H136" s="387">
        <v>1.0204240792759967</v>
      </c>
      <c r="I136" s="387">
        <v>1.0137739549704501</v>
      </c>
      <c r="J136" s="387">
        <v>0.9898055017218621</v>
      </c>
      <c r="K136" s="460"/>
      <c r="L136" s="461"/>
      <c r="M136" s="27"/>
      <c r="N136" s="27"/>
      <c r="O136" s="27"/>
    </row>
    <row r="137" spans="2:15">
      <c r="B137" s="383" t="s">
        <v>47</v>
      </c>
      <c r="C137" s="389">
        <v>3.0675250143183739</v>
      </c>
      <c r="D137" s="387">
        <v>3.1629219417602221</v>
      </c>
      <c r="E137" s="387">
        <v>3.2156604222069194</v>
      </c>
      <c r="F137" s="387">
        <v>3.1773534622131239</v>
      </c>
      <c r="G137" s="387">
        <v>2.9925267771957293</v>
      </c>
      <c r="H137" s="387">
        <v>2.9953978987575276</v>
      </c>
      <c r="I137" s="387">
        <v>3.008780645638939</v>
      </c>
      <c r="J137" s="387">
        <v>3.0035530345258876</v>
      </c>
      <c r="K137" s="460"/>
      <c r="L137" s="461"/>
      <c r="M137" s="27"/>
      <c r="N137" s="27"/>
      <c r="O137" s="27"/>
    </row>
    <row r="138" spans="2:15">
      <c r="B138" s="383" t="s">
        <v>49</v>
      </c>
      <c r="C138" s="389">
        <v>2.1240897362733717</v>
      </c>
      <c r="D138" s="387">
        <v>2.0350723340362249</v>
      </c>
      <c r="E138" s="387">
        <v>1.9686998072928457</v>
      </c>
      <c r="F138" s="387">
        <v>2.0858456765056492</v>
      </c>
      <c r="G138" s="387">
        <v>2.1150393198028121</v>
      </c>
      <c r="H138" s="387">
        <v>2.0960407823683633</v>
      </c>
      <c r="I138" s="387">
        <v>1.9709648894580449</v>
      </c>
      <c r="J138" s="387">
        <v>1.9558237270696361</v>
      </c>
      <c r="K138" s="460"/>
      <c r="L138" s="461"/>
      <c r="M138" s="27"/>
      <c r="N138" s="27"/>
      <c r="O138" s="27"/>
    </row>
    <row r="139" spans="2:15">
      <c r="B139" s="383" t="s">
        <v>48</v>
      </c>
      <c r="C139" s="389">
        <v>4.3724011747736116</v>
      </c>
      <c r="D139" s="387">
        <v>4.1057641662653896</v>
      </c>
      <c r="E139" s="387">
        <v>4.0545669929819539</v>
      </c>
      <c r="F139" s="387">
        <v>4.1740927460581894</v>
      </c>
      <c r="G139" s="387">
        <v>4.2397101975440528</v>
      </c>
      <c r="H139" s="387">
        <v>4.2461477210751069</v>
      </c>
      <c r="I139" s="387">
        <v>4.1078523076276792</v>
      </c>
      <c r="J139" s="387">
        <v>4.0575944965475035</v>
      </c>
      <c r="K139" s="460"/>
      <c r="L139" s="461"/>
      <c r="M139" s="27"/>
      <c r="N139" s="27"/>
      <c r="O139" s="27"/>
    </row>
    <row r="140" spans="2:15">
      <c r="B140" s="383" t="s">
        <v>46</v>
      </c>
      <c r="C140" s="389">
        <v>1.3982776671905828</v>
      </c>
      <c r="D140" s="387">
        <v>1.3864649866746799</v>
      </c>
      <c r="E140" s="387">
        <v>1.3673040530931269</v>
      </c>
      <c r="F140" s="387">
        <v>1.3493453776780693</v>
      </c>
      <c r="G140" s="387">
        <v>1.3347777856873293</v>
      </c>
      <c r="H140" s="387">
        <v>1.3354887108693174</v>
      </c>
      <c r="I140" s="387">
        <v>1.3597799661606067</v>
      </c>
      <c r="J140" s="387">
        <v>1.3515240072037848</v>
      </c>
      <c r="K140" s="460"/>
      <c r="L140" s="461"/>
      <c r="M140" s="27"/>
      <c r="N140" s="27"/>
      <c r="O140" s="27"/>
    </row>
    <row r="141" spans="2:15">
      <c r="B141" s="383" t="s">
        <v>110</v>
      </c>
      <c r="C141" s="389">
        <v>-1.1295718210052885</v>
      </c>
      <c r="D141" s="387">
        <v>-1.1444007312827333</v>
      </c>
      <c r="E141" s="387">
        <v>-1.1763817360750841</v>
      </c>
      <c r="F141" s="387">
        <v>-1.5927557463957547</v>
      </c>
      <c r="G141" s="387">
        <v>-1.8565667598967899</v>
      </c>
      <c r="H141" s="387">
        <v>-1.2720416735170972</v>
      </c>
      <c r="I141" s="387">
        <v>-1.1039739947823479</v>
      </c>
      <c r="J141" s="387">
        <v>-1.018311326547777</v>
      </c>
      <c r="K141" s="460"/>
      <c r="L141" s="461"/>
      <c r="M141" s="27"/>
      <c r="N141" s="27"/>
      <c r="O141" s="27"/>
    </row>
    <row r="142" spans="2:15">
      <c r="B142" s="383" t="s">
        <v>111</v>
      </c>
      <c r="C142" s="389">
        <v>-0.43181154987245485</v>
      </c>
      <c r="D142" s="387">
        <v>-0.39947195996305995</v>
      </c>
      <c r="E142" s="387">
        <v>-0.34734317043598018</v>
      </c>
      <c r="F142" s="387">
        <v>-0.3193206524905472</v>
      </c>
      <c r="G142" s="387">
        <v>-0.31265626882301373</v>
      </c>
      <c r="H142" s="387">
        <v>-0.30799379948941219</v>
      </c>
      <c r="I142" s="387">
        <v>-0.32570922921081308</v>
      </c>
      <c r="J142" s="387">
        <v>-0.31552026220892354</v>
      </c>
      <c r="K142" s="460"/>
      <c r="L142" s="461"/>
      <c r="M142" s="27"/>
      <c r="N142" s="27"/>
      <c r="O142" s="27"/>
    </row>
    <row r="143" spans="2:15">
      <c r="B143" s="383" t="s">
        <v>108</v>
      </c>
      <c r="C143" s="389">
        <v>15.168246288518162</v>
      </c>
      <c r="D143" s="387">
        <v>16.275110005972994</v>
      </c>
      <c r="E143" s="387">
        <v>15.614702904478012</v>
      </c>
      <c r="F143" s="387">
        <v>14.911674359737152</v>
      </c>
      <c r="G143" s="387">
        <v>13.033415757853545</v>
      </c>
      <c r="H143" s="387">
        <v>12.556067765830047</v>
      </c>
      <c r="I143" s="387">
        <v>11.285100906339711</v>
      </c>
      <c r="J143" s="387">
        <v>9.8268179419485548</v>
      </c>
      <c r="K143" s="460"/>
      <c r="L143" s="461"/>
      <c r="M143" s="27"/>
      <c r="N143" s="27"/>
      <c r="O143" s="27"/>
    </row>
    <row r="144" spans="2:15">
      <c r="B144" s="383" t="s">
        <v>109</v>
      </c>
      <c r="C144" s="389">
        <v>0.93219394583370063</v>
      </c>
      <c r="D144" s="387">
        <v>0.89969793099769957</v>
      </c>
      <c r="E144" s="387">
        <v>0.87783267686821997</v>
      </c>
      <c r="F144" s="387">
        <v>0.87232109317784756</v>
      </c>
      <c r="G144" s="387">
        <v>0.89875958568159287</v>
      </c>
      <c r="H144" s="387">
        <v>0.82801710222961222</v>
      </c>
      <c r="I144" s="387">
        <v>0.88417658562860901</v>
      </c>
      <c r="J144" s="387">
        <v>0.89982415652833247</v>
      </c>
      <c r="K144" s="460"/>
      <c r="L144" s="461"/>
      <c r="M144" s="27"/>
      <c r="N144" s="27"/>
      <c r="O144" s="27"/>
    </row>
    <row r="145" spans="1:15">
      <c r="B145" s="383" t="s">
        <v>57</v>
      </c>
      <c r="C145" s="389">
        <v>10.952751093909903</v>
      </c>
      <c r="D145" s="387">
        <v>1.3412683602121493</v>
      </c>
      <c r="E145" s="387">
        <v>22.190179414419269</v>
      </c>
      <c r="F145" s="387">
        <v>7.0488483253947072</v>
      </c>
      <c r="G145" s="387">
        <v>6.9020695692988534</v>
      </c>
      <c r="H145" s="387">
        <v>6.9425238085580094</v>
      </c>
      <c r="I145" s="387">
        <v>7.0785069781779111</v>
      </c>
      <c r="J145" s="387">
        <v>5.2688524500291916</v>
      </c>
      <c r="K145" s="460"/>
      <c r="L145" s="461"/>
      <c r="M145" s="27"/>
      <c r="N145" s="27"/>
      <c r="O145" s="27"/>
    </row>
    <row r="146" spans="1:15">
      <c r="B146" s="384" t="s">
        <v>58</v>
      </c>
      <c r="C146" s="390">
        <v>4.7850556060781999</v>
      </c>
      <c r="D146" s="391">
        <v>4.9736597194598335</v>
      </c>
      <c r="E146" s="391">
        <v>5.6988662496343032</v>
      </c>
      <c r="F146" s="391">
        <v>3.7921077312788807</v>
      </c>
      <c r="G146" s="391">
        <v>2.8512563802087829</v>
      </c>
      <c r="H146" s="391">
        <v>2.8799765245720623</v>
      </c>
      <c r="I146" s="391">
        <v>2.9074703511454074</v>
      </c>
      <c r="J146" s="391">
        <v>2.8191074376225309</v>
      </c>
      <c r="K146" s="462"/>
      <c r="L146" s="463"/>
      <c r="M146" s="27"/>
      <c r="N146" s="27"/>
      <c r="O146" s="27"/>
    </row>
    <row r="147" spans="1:15">
      <c r="B147" s="27"/>
      <c r="C147" s="27"/>
      <c r="D147" s="27"/>
      <c r="E147" s="27"/>
      <c r="F147" s="27"/>
      <c r="G147" s="27"/>
      <c r="H147" s="27"/>
      <c r="I147" s="27"/>
      <c r="J147" s="27"/>
      <c r="K147" s="27"/>
      <c r="L147" s="27"/>
      <c r="M147" s="27"/>
      <c r="N147" s="27"/>
      <c r="O147" s="27"/>
    </row>
    <row r="148" spans="1:15">
      <c r="B148" s="325"/>
      <c r="C148" s="298"/>
      <c r="D148" s="298"/>
      <c r="E148" s="298"/>
      <c r="F148" s="298"/>
      <c r="G148" s="298"/>
      <c r="H148" s="298"/>
      <c r="I148" s="298"/>
      <c r="J148" s="298"/>
      <c r="K148" s="27"/>
      <c r="L148" s="27"/>
      <c r="M148" s="27"/>
    </row>
    <row r="149" spans="1:15">
      <c r="B149" s="348" t="str">
        <f>LEFT('RFPR cover'!C6,2)</f>
        <v>ED</v>
      </c>
      <c r="C149" s="346"/>
      <c r="D149" s="346"/>
      <c r="E149" s="346"/>
      <c r="F149" s="346"/>
      <c r="G149" s="346"/>
      <c r="H149" s="346"/>
      <c r="I149" s="346"/>
      <c r="J149" s="346"/>
      <c r="K149" s="346"/>
      <c r="L149" s="347"/>
    </row>
    <row r="150" spans="1:15" ht="14.25" customHeight="1">
      <c r="A150" s="166"/>
      <c r="B150" s="380" t="s">
        <v>398</v>
      </c>
      <c r="C150" s="381"/>
      <c r="D150" s="381"/>
      <c r="E150" s="381"/>
      <c r="F150" s="379"/>
      <c r="G150" s="379"/>
      <c r="H150" s="379"/>
      <c r="I150" s="379"/>
      <c r="J150" s="379"/>
      <c r="K150" s="379"/>
      <c r="L150" s="379"/>
      <c r="M150" s="379"/>
      <c r="N150" s="379"/>
    </row>
    <row r="151" spans="1:15" s="27" customFormat="1" ht="14.25" customHeight="1">
      <c r="A151" s="599"/>
      <c r="B151" s="600"/>
      <c r="C151" s="601"/>
      <c r="D151" s="601"/>
      <c r="E151" s="601"/>
      <c r="F151" s="602"/>
      <c r="G151" s="602"/>
      <c r="H151" s="602"/>
      <c r="I151" s="602"/>
      <c r="J151" s="602"/>
      <c r="K151" s="602"/>
      <c r="L151" s="602"/>
      <c r="M151" s="602"/>
      <c r="N151" s="602"/>
    </row>
    <row r="152" spans="1:15">
      <c r="A152" s="164"/>
      <c r="B152" s="603" t="s">
        <v>404</v>
      </c>
      <c r="C152" s="167"/>
      <c r="D152" s="167"/>
      <c r="E152" s="604" t="b">
        <f>OR((LEFT('RFPR cover'!$C$6,2)=Data!F152),'RFPR cover'!$C$5=Data!F152)</f>
        <v>1</v>
      </c>
      <c r="F152" s="297" t="str">
        <f>B162</f>
        <v>ED</v>
      </c>
      <c r="G152" s="605"/>
    </row>
    <row r="153" spans="1:15">
      <c r="A153" s="164"/>
      <c r="B153" s="619" t="str">
        <f>CHOOSE(MATCH(TRUE,$E$152:$E$159,0),B163,B173,B183,E183,B193,E193,B203,E203)&amp;""</f>
        <v>Broad measure of customer service</v>
      </c>
      <c r="C153" s="167"/>
      <c r="D153" s="167"/>
      <c r="E153" s="606" t="b">
        <f>OR((LEFT('RFPR cover'!$C$6,2)=Data!F153),'RFPR cover'!$C$5=Data!F153)</f>
        <v>0</v>
      </c>
      <c r="F153" s="298" t="str">
        <f>B172</f>
        <v>GD</v>
      </c>
      <c r="G153" s="163"/>
    </row>
    <row r="154" spans="1:15" ht="25.5">
      <c r="A154" s="164"/>
      <c r="B154" s="620" t="str">
        <f t="shared" ref="B154:B160" si="22">CHOOSE(MATCH(TRUE,$E$152:$E$159,0),B164,B174,B184,E184,B194,E194,B204,E204)&amp;""</f>
        <v>Interruptions-related quality of service</v>
      </c>
      <c r="C154" s="167"/>
      <c r="D154" s="167"/>
      <c r="E154" s="606" t="b">
        <f>OR((LEFT('RFPR cover'!$C$6,2)=Data!F154),'RFPR cover'!$C$5=Data!F154)</f>
        <v>0</v>
      </c>
      <c r="F154" s="618" t="str">
        <f>B182</f>
        <v>NGGT (TO)</v>
      </c>
      <c r="G154" s="163"/>
    </row>
    <row r="155" spans="1:15">
      <c r="A155" s="164"/>
      <c r="B155" s="620" t="str">
        <f t="shared" si="22"/>
        <v>Incentive on connections engagement</v>
      </c>
      <c r="C155" s="167"/>
      <c r="D155" s="167"/>
      <c r="E155" s="606" t="b">
        <f>OR((LEFT('RFPR cover'!$C$6,2)=Data!F155),'RFPR cover'!$C$5=Data!F155)</f>
        <v>0</v>
      </c>
      <c r="F155" s="607" t="str">
        <f>E182</f>
        <v>NGGT (SO)</v>
      </c>
      <c r="G155" s="163"/>
    </row>
    <row r="156" spans="1:15">
      <c r="A156" s="164"/>
      <c r="B156" s="620" t="str">
        <f t="shared" si="22"/>
        <v>Time to Connect Incentive</v>
      </c>
      <c r="C156" s="167"/>
      <c r="D156" s="167"/>
      <c r="E156" s="606" t="b">
        <f>OR((LEFT('RFPR cover'!$C$6,2)=Data!F156),'RFPR cover'!$C$5=Data!F156)</f>
        <v>0</v>
      </c>
      <c r="F156" s="607" t="str">
        <f>B192</f>
        <v>NGET (TO)</v>
      </c>
      <c r="G156" s="163"/>
    </row>
    <row r="157" spans="1:15">
      <c r="A157" s="164"/>
      <c r="B157" s="621" t="str">
        <f t="shared" si="22"/>
        <v>Losses discretionary reward scheme</v>
      </c>
      <c r="C157" s="167"/>
      <c r="D157" s="167"/>
      <c r="E157" s="606" t="b">
        <f>OR((LEFT('RFPR cover'!$C$6,2)=Data!F157),'RFPR cover'!$C$5=Data!F157)</f>
        <v>0</v>
      </c>
      <c r="F157" s="607" t="str">
        <f>E192</f>
        <v>NGESO</v>
      </c>
      <c r="G157" s="163"/>
    </row>
    <row r="158" spans="1:15">
      <c r="A158" s="164"/>
      <c r="B158" s="621" t="str">
        <f t="shared" si="22"/>
        <v/>
      </c>
      <c r="C158" s="167"/>
      <c r="D158" s="167"/>
      <c r="E158" s="606" t="b">
        <f>OR((LEFT('RFPR cover'!$C$6,2)=Data!F158),'RFPR cover'!$C$5=Data!F158)</f>
        <v>0</v>
      </c>
      <c r="F158" s="607" t="str">
        <f>B202</f>
        <v>SPT</v>
      </c>
      <c r="G158" s="163"/>
    </row>
    <row r="159" spans="1:15">
      <c r="A159" s="164"/>
      <c r="B159" s="621" t="str">
        <f t="shared" si="22"/>
        <v/>
      </c>
      <c r="C159" s="167"/>
      <c r="D159" s="167"/>
      <c r="E159" s="608" t="b">
        <f>OR((LEFT('RFPR cover'!$C$6,2)=Data!F159),'RFPR cover'!$C$5=Data!F159)</f>
        <v>0</v>
      </c>
      <c r="F159" s="609" t="str">
        <f>E202</f>
        <v>SHET</v>
      </c>
      <c r="G159" s="237"/>
    </row>
    <row r="160" spans="1:15">
      <c r="A160" s="164"/>
      <c r="B160" s="167" t="str">
        <f t="shared" si="22"/>
        <v/>
      </c>
      <c r="C160" s="167"/>
      <c r="D160" s="167"/>
      <c r="E160" s="43"/>
      <c r="F160" s="607"/>
      <c r="G160" s="35"/>
    </row>
    <row r="161" spans="1:7">
      <c r="A161" s="164"/>
      <c r="B161" s="167"/>
      <c r="C161" s="167"/>
      <c r="D161" s="167"/>
      <c r="E161" s="43"/>
      <c r="F161" s="607"/>
      <c r="G161" s="35"/>
    </row>
    <row r="162" spans="1:7" ht="12" customHeight="1">
      <c r="A162" s="164"/>
      <c r="B162" s="949" t="s">
        <v>168</v>
      </c>
      <c r="C162" s="945"/>
      <c r="D162" s="167"/>
      <c r="E162" s="167"/>
    </row>
    <row r="163" spans="1:7">
      <c r="A163" s="164"/>
      <c r="B163" s="950" t="s">
        <v>399</v>
      </c>
      <c r="C163" s="951"/>
      <c r="D163" s="167"/>
      <c r="E163" s="167"/>
    </row>
    <row r="164" spans="1:7">
      <c r="A164" s="164"/>
      <c r="B164" s="950" t="s">
        <v>400</v>
      </c>
      <c r="C164" s="951"/>
      <c r="D164" s="167"/>
      <c r="E164" s="167"/>
    </row>
    <row r="165" spans="1:7">
      <c r="A165" s="164"/>
      <c r="B165" s="952" t="s">
        <v>401</v>
      </c>
      <c r="C165" s="953"/>
      <c r="D165" s="167"/>
      <c r="E165" s="167"/>
    </row>
    <row r="166" spans="1:7">
      <c r="A166" s="164"/>
      <c r="B166" s="952" t="s">
        <v>402</v>
      </c>
      <c r="C166" s="953"/>
      <c r="D166" s="167"/>
      <c r="E166" s="167"/>
    </row>
    <row r="167" spans="1:7">
      <c r="A167" s="164"/>
      <c r="B167" s="952" t="s">
        <v>403</v>
      </c>
      <c r="C167" s="953"/>
      <c r="D167" s="167"/>
      <c r="E167" s="167"/>
    </row>
    <row r="168" spans="1:7">
      <c r="A168" s="164"/>
      <c r="B168" s="952"/>
      <c r="C168" s="953"/>
      <c r="D168" s="167"/>
      <c r="E168" s="167"/>
    </row>
    <row r="169" spans="1:7">
      <c r="A169" s="164"/>
      <c r="B169" s="952"/>
      <c r="C169" s="953"/>
      <c r="D169" s="167"/>
      <c r="E169" s="167"/>
    </row>
    <row r="170" spans="1:7">
      <c r="A170" s="164"/>
      <c r="B170" s="167"/>
      <c r="C170" s="167"/>
      <c r="D170" s="167"/>
      <c r="E170" s="167"/>
    </row>
    <row r="171" spans="1:7">
      <c r="A171" s="164"/>
      <c r="B171" s="167"/>
      <c r="C171" s="167"/>
      <c r="D171" s="167"/>
      <c r="E171" s="167"/>
    </row>
    <row r="172" spans="1:7">
      <c r="A172" s="164"/>
      <c r="B172" s="949" t="s">
        <v>169</v>
      </c>
      <c r="C172" s="945"/>
      <c r="D172" s="167"/>
      <c r="E172" s="167"/>
    </row>
    <row r="173" spans="1:7" ht="12.75" customHeight="1">
      <c r="A173" s="164"/>
      <c r="B173" s="946" t="s">
        <v>219</v>
      </c>
      <c r="C173" s="948"/>
      <c r="D173" s="167"/>
      <c r="E173" s="167"/>
    </row>
    <row r="174" spans="1:7" ht="12.75" customHeight="1">
      <c r="A174" s="164"/>
      <c r="B174" s="940" t="s">
        <v>220</v>
      </c>
      <c r="C174" s="942"/>
      <c r="D174" s="167"/>
      <c r="E174" s="167"/>
    </row>
    <row r="175" spans="1:7" ht="12.75" customHeight="1">
      <c r="A175" s="164"/>
      <c r="B175" s="940" t="s">
        <v>221</v>
      </c>
      <c r="C175" s="942"/>
      <c r="D175" s="167"/>
      <c r="E175" s="167"/>
    </row>
    <row r="176" spans="1:7" ht="12.75" customHeight="1">
      <c r="A176" s="164"/>
      <c r="B176" s="940" t="s">
        <v>222</v>
      </c>
      <c r="C176" s="942"/>
      <c r="D176" s="167"/>
      <c r="E176" s="167"/>
    </row>
    <row r="177" spans="1:9" ht="12.75" customHeight="1">
      <c r="A177" s="164"/>
      <c r="B177" s="937" t="s">
        <v>302</v>
      </c>
      <c r="C177" s="939"/>
      <c r="D177" s="167"/>
      <c r="E177" s="167"/>
    </row>
    <row r="178" spans="1:9" ht="12.75" customHeight="1">
      <c r="A178" s="164"/>
      <c r="B178" s="937"/>
      <c r="C178" s="939"/>
      <c r="D178" s="167"/>
      <c r="E178" s="167"/>
    </row>
    <row r="179" spans="1:9" ht="12.75" customHeight="1">
      <c r="A179" s="164"/>
      <c r="B179" s="937"/>
      <c r="C179" s="939"/>
      <c r="D179" s="167"/>
      <c r="E179" s="167"/>
    </row>
    <row r="180" spans="1:9">
      <c r="A180" s="164"/>
      <c r="B180" s="167"/>
      <c r="C180" s="167"/>
      <c r="D180" s="167"/>
      <c r="E180" s="167"/>
    </row>
    <row r="181" spans="1:9">
      <c r="A181" s="164"/>
      <c r="B181" s="167"/>
      <c r="C181" s="167"/>
      <c r="D181" s="167"/>
      <c r="E181" s="167"/>
    </row>
    <row r="182" spans="1:9">
      <c r="A182" s="164"/>
      <c r="B182" s="943" t="str">
        <f>B95</f>
        <v>NGGT (TO)</v>
      </c>
      <c r="C182" s="975"/>
      <c r="D182" s="167"/>
      <c r="E182" s="943" t="str">
        <f>B96</f>
        <v>NGGT (SO)</v>
      </c>
      <c r="F182" s="944"/>
      <c r="G182" s="944"/>
      <c r="H182" s="944"/>
      <c r="I182" s="945"/>
    </row>
    <row r="183" spans="1:9" ht="12.4" customHeight="1">
      <c r="A183" s="164"/>
      <c r="B183" s="946" t="s">
        <v>215</v>
      </c>
      <c r="C183" s="948"/>
      <c r="D183" s="167"/>
      <c r="E183" s="940" t="s">
        <v>549</v>
      </c>
      <c r="F183" s="941" t="s">
        <v>549</v>
      </c>
      <c r="G183" s="941" t="s">
        <v>549</v>
      </c>
      <c r="H183" s="941" t="s">
        <v>549</v>
      </c>
      <c r="I183" s="942" t="s">
        <v>549</v>
      </c>
    </row>
    <row r="184" spans="1:9" ht="12.4" customHeight="1">
      <c r="A184" s="164"/>
      <c r="B184" s="940" t="s">
        <v>223</v>
      </c>
      <c r="C184" s="942"/>
      <c r="D184" s="167"/>
      <c r="E184" s="940" t="s">
        <v>550</v>
      </c>
      <c r="F184" s="941" t="s">
        <v>550</v>
      </c>
      <c r="G184" s="941" t="s">
        <v>550</v>
      </c>
      <c r="H184" s="941" t="s">
        <v>550</v>
      </c>
      <c r="I184" s="942" t="s">
        <v>550</v>
      </c>
    </row>
    <row r="185" spans="1:9" ht="12.4" customHeight="1">
      <c r="A185" s="164"/>
      <c r="B185" s="940"/>
      <c r="C185" s="942"/>
      <c r="D185" s="167"/>
      <c r="E185" s="940" t="s">
        <v>551</v>
      </c>
      <c r="F185" s="941" t="s">
        <v>551</v>
      </c>
      <c r="G185" s="941" t="s">
        <v>551</v>
      </c>
      <c r="H185" s="941" t="s">
        <v>551</v>
      </c>
      <c r="I185" s="942" t="s">
        <v>551</v>
      </c>
    </row>
    <row r="186" spans="1:9" ht="12.4" customHeight="1">
      <c r="A186" s="164"/>
      <c r="B186" s="940"/>
      <c r="C186" s="942"/>
      <c r="D186" s="167"/>
      <c r="E186" s="940" t="s">
        <v>552</v>
      </c>
      <c r="F186" s="941" t="s">
        <v>552</v>
      </c>
      <c r="G186" s="941" t="s">
        <v>552</v>
      </c>
      <c r="H186" s="941" t="s">
        <v>552</v>
      </c>
      <c r="I186" s="942" t="s">
        <v>552</v>
      </c>
    </row>
    <row r="187" spans="1:9" ht="12.4" customHeight="1">
      <c r="A187" s="164"/>
      <c r="B187" s="937"/>
      <c r="C187" s="939"/>
      <c r="D187" s="167"/>
      <c r="E187" s="940" t="s">
        <v>553</v>
      </c>
      <c r="F187" s="941" t="s">
        <v>553</v>
      </c>
      <c r="G187" s="941" t="s">
        <v>553</v>
      </c>
      <c r="H187" s="941" t="s">
        <v>553</v>
      </c>
      <c r="I187" s="942" t="s">
        <v>553</v>
      </c>
    </row>
    <row r="188" spans="1:9" ht="12.4" customHeight="1">
      <c r="A188" s="164"/>
      <c r="B188" s="937"/>
      <c r="C188" s="939"/>
      <c r="D188" s="167"/>
      <c r="E188" s="940" t="s">
        <v>554</v>
      </c>
      <c r="F188" s="941" t="s">
        <v>554</v>
      </c>
      <c r="G188" s="941" t="s">
        <v>554</v>
      </c>
      <c r="H188" s="941" t="s">
        <v>554</v>
      </c>
      <c r="I188" s="942" t="s">
        <v>554</v>
      </c>
    </row>
    <row r="189" spans="1:9" ht="12.4" customHeight="1">
      <c r="A189" s="164"/>
      <c r="B189" s="937"/>
      <c r="C189" s="939"/>
      <c r="D189" s="167"/>
      <c r="E189" s="940" t="s">
        <v>555</v>
      </c>
      <c r="F189" s="941" t="s">
        <v>555</v>
      </c>
      <c r="G189" s="941" t="s">
        <v>555</v>
      </c>
      <c r="H189" s="941" t="s">
        <v>555</v>
      </c>
      <c r="I189" s="942" t="s">
        <v>555</v>
      </c>
    </row>
    <row r="190" spans="1:9">
      <c r="A190" s="164"/>
      <c r="B190" s="167"/>
      <c r="C190" s="167"/>
      <c r="D190" s="167"/>
      <c r="E190" s="167"/>
    </row>
    <row r="191" spans="1:9">
      <c r="A191" s="164"/>
      <c r="B191" s="167"/>
      <c r="C191" s="167"/>
      <c r="D191" s="167"/>
      <c r="E191" s="167"/>
    </row>
    <row r="192" spans="1:9">
      <c r="A192" s="164"/>
      <c r="B192" s="943" t="str">
        <f>B97</f>
        <v>NGET (TO)</v>
      </c>
      <c r="C192" s="975"/>
      <c r="D192" s="167"/>
      <c r="E192" s="943" t="str">
        <f>B98</f>
        <v>NGESO</v>
      </c>
      <c r="F192" s="944"/>
      <c r="G192" s="944"/>
      <c r="H192" s="944"/>
      <c r="I192" s="945"/>
    </row>
    <row r="193" spans="1:9" ht="12.75" customHeight="1">
      <c r="A193" s="164"/>
      <c r="B193" s="946" t="s">
        <v>214</v>
      </c>
      <c r="C193" s="948"/>
      <c r="D193" s="167"/>
      <c r="E193" s="940" t="s">
        <v>556</v>
      </c>
      <c r="F193" s="941" t="s">
        <v>556</v>
      </c>
      <c r="G193" s="941" t="s">
        <v>556</v>
      </c>
      <c r="H193" s="941" t="s">
        <v>556</v>
      </c>
      <c r="I193" s="942" t="s">
        <v>556</v>
      </c>
    </row>
    <row r="194" spans="1:9" ht="12.75" customHeight="1">
      <c r="A194" s="164"/>
      <c r="B194" s="940" t="s">
        <v>215</v>
      </c>
      <c r="C194" s="942"/>
      <c r="D194" s="167"/>
      <c r="E194" s="940" t="s">
        <v>557</v>
      </c>
      <c r="F194" s="941" t="s">
        <v>557</v>
      </c>
      <c r="G194" s="941" t="s">
        <v>557</v>
      </c>
      <c r="H194" s="941" t="s">
        <v>557</v>
      </c>
      <c r="I194" s="942" t="s">
        <v>557</v>
      </c>
    </row>
    <row r="195" spans="1:9" ht="12.75" customHeight="1">
      <c r="A195" s="164"/>
      <c r="B195" s="940" t="s">
        <v>216</v>
      </c>
      <c r="C195" s="942"/>
      <c r="D195" s="167"/>
      <c r="E195" s="940" t="s">
        <v>558</v>
      </c>
      <c r="F195" s="941" t="s">
        <v>558</v>
      </c>
      <c r="G195" s="941" t="s">
        <v>558</v>
      </c>
      <c r="H195" s="941" t="s">
        <v>558</v>
      </c>
      <c r="I195" s="942" t="s">
        <v>558</v>
      </c>
    </row>
    <row r="196" spans="1:9" ht="12.75" customHeight="1">
      <c r="A196" s="164"/>
      <c r="B196" s="940" t="s">
        <v>217</v>
      </c>
      <c r="C196" s="942"/>
      <c r="D196" s="167"/>
      <c r="E196" s="940" t="s">
        <v>571</v>
      </c>
      <c r="F196" s="941"/>
      <c r="G196" s="941"/>
      <c r="H196" s="941"/>
      <c r="I196" s="942"/>
    </row>
    <row r="197" spans="1:9" ht="12.75" customHeight="1">
      <c r="A197" s="164"/>
      <c r="B197" s="937"/>
      <c r="C197" s="939"/>
      <c r="D197" s="167"/>
      <c r="E197" s="937"/>
      <c r="F197" s="938"/>
      <c r="G197" s="938"/>
      <c r="H197" s="938"/>
      <c r="I197" s="939"/>
    </row>
    <row r="198" spans="1:9" ht="12.75" customHeight="1">
      <c r="A198" s="164"/>
      <c r="B198" s="937"/>
      <c r="C198" s="939"/>
      <c r="D198" s="167"/>
      <c r="E198" s="937"/>
      <c r="F198" s="938"/>
      <c r="G198" s="938"/>
      <c r="H198" s="938"/>
      <c r="I198" s="939"/>
    </row>
    <row r="199" spans="1:9" ht="12.75" customHeight="1">
      <c r="A199" s="164"/>
      <c r="B199" s="937"/>
      <c r="C199" s="939"/>
      <c r="D199" s="167"/>
      <c r="E199" s="937"/>
      <c r="F199" s="938"/>
      <c r="G199" s="938"/>
      <c r="H199" s="938"/>
      <c r="I199" s="939"/>
    </row>
    <row r="200" spans="1:9" s="27" customFormat="1" ht="12.75" customHeight="1">
      <c r="A200" s="596"/>
      <c r="B200" s="596"/>
      <c r="C200" s="596"/>
      <c r="D200" s="597"/>
      <c r="E200" s="598"/>
      <c r="F200" s="598"/>
      <c r="G200" s="598"/>
      <c r="H200" s="598"/>
      <c r="I200" s="598"/>
    </row>
    <row r="201" spans="1:9" s="27" customFormat="1" ht="12.75" customHeight="1">
      <c r="A201" s="596"/>
      <c r="B201" s="596"/>
      <c r="C201" s="596"/>
      <c r="D201" s="597"/>
      <c r="E201" s="598"/>
      <c r="F201" s="598"/>
      <c r="G201" s="598"/>
      <c r="H201" s="598"/>
      <c r="I201" s="598"/>
    </row>
    <row r="202" spans="1:9">
      <c r="A202" s="164"/>
      <c r="B202" s="943" t="str">
        <f>B145</f>
        <v>SPT</v>
      </c>
      <c r="C202" s="975"/>
      <c r="D202" s="167"/>
      <c r="E202" s="943" t="str">
        <f>B100</f>
        <v>SHET</v>
      </c>
      <c r="F202" s="944"/>
      <c r="G202" s="944"/>
      <c r="H202" s="944"/>
      <c r="I202" s="945"/>
    </row>
    <row r="203" spans="1:9" ht="12.75" customHeight="1">
      <c r="A203" s="164"/>
      <c r="B203" s="946" t="s">
        <v>214</v>
      </c>
      <c r="C203" s="948"/>
      <c r="D203" s="167"/>
      <c r="E203" s="946" t="s">
        <v>214</v>
      </c>
      <c r="F203" s="947"/>
      <c r="G203" s="947"/>
      <c r="H203" s="947"/>
      <c r="I203" s="948"/>
    </row>
    <row r="204" spans="1:9" ht="12.75" customHeight="1">
      <c r="A204" s="164"/>
      <c r="B204" s="940" t="s">
        <v>215</v>
      </c>
      <c r="C204" s="942"/>
      <c r="D204" s="167"/>
      <c r="E204" s="940" t="s">
        <v>215</v>
      </c>
      <c r="F204" s="941"/>
      <c r="G204" s="941"/>
      <c r="H204" s="941"/>
      <c r="I204" s="942"/>
    </row>
    <row r="205" spans="1:9" ht="12.75" customHeight="1">
      <c r="A205" s="164"/>
      <c r="B205" s="940" t="s">
        <v>216</v>
      </c>
      <c r="C205" s="942"/>
      <c r="D205" s="167"/>
      <c r="E205" s="940" t="s">
        <v>216</v>
      </c>
      <c r="F205" s="941"/>
      <c r="G205" s="941"/>
      <c r="H205" s="941"/>
      <c r="I205" s="942"/>
    </row>
    <row r="206" spans="1:9" ht="12.75" customHeight="1">
      <c r="A206" s="164"/>
      <c r="B206" s="940" t="s">
        <v>217</v>
      </c>
      <c r="C206" s="942"/>
      <c r="D206" s="167"/>
      <c r="E206" s="940" t="s">
        <v>217</v>
      </c>
      <c r="F206" s="941"/>
      <c r="G206" s="941"/>
      <c r="H206" s="941"/>
      <c r="I206" s="942"/>
    </row>
    <row r="207" spans="1:9" ht="12.75" customHeight="1">
      <c r="A207" s="164"/>
      <c r="B207" s="937" t="s">
        <v>218</v>
      </c>
      <c r="C207" s="939"/>
      <c r="D207" s="167"/>
      <c r="E207" s="937" t="s">
        <v>218</v>
      </c>
      <c r="F207" s="938"/>
      <c r="G207" s="938"/>
      <c r="H207" s="938"/>
      <c r="I207" s="939"/>
    </row>
    <row r="208" spans="1:9" ht="12.75" customHeight="1">
      <c r="A208" s="164"/>
      <c r="B208" s="937"/>
      <c r="C208" s="939"/>
      <c r="D208" s="167"/>
      <c r="E208" s="937"/>
      <c r="F208" s="938"/>
      <c r="G208" s="938"/>
      <c r="H208" s="938"/>
      <c r="I208" s="939"/>
    </row>
    <row r="209" spans="1:14" ht="12.75" customHeight="1">
      <c r="A209" s="164"/>
      <c r="B209" s="937"/>
      <c r="C209" s="939"/>
      <c r="D209" s="167"/>
      <c r="E209" s="937"/>
      <c r="F209" s="938"/>
      <c r="G209" s="938"/>
      <c r="H209" s="938"/>
      <c r="I209" s="939"/>
    </row>
    <row r="210" spans="1:14">
      <c r="A210" s="164"/>
      <c r="D210" s="167"/>
      <c r="E210" s="167"/>
    </row>
    <row r="211" spans="1:14">
      <c r="A211" s="164"/>
      <c r="D211" s="167"/>
      <c r="E211" s="167"/>
    </row>
    <row r="212" spans="1:14" ht="12.75" customHeight="1">
      <c r="A212" s="164"/>
      <c r="B212" s="974" t="s">
        <v>236</v>
      </c>
      <c r="C212" s="974"/>
      <c r="D212" s="974"/>
      <c r="E212" s="226"/>
      <c r="F212" s="178"/>
      <c r="G212" s="178"/>
      <c r="H212" s="178"/>
      <c r="I212" s="178"/>
      <c r="J212" s="178"/>
      <c r="K212" s="178"/>
      <c r="L212" s="178"/>
      <c r="M212" s="178"/>
      <c r="N212" s="178"/>
    </row>
    <row r="213" spans="1:14">
      <c r="A213" s="164"/>
      <c r="B213" s="167"/>
      <c r="C213" s="167"/>
      <c r="D213" s="167"/>
      <c r="E213" s="167"/>
    </row>
    <row r="214" spans="1:14" ht="25.5">
      <c r="A214" s="164"/>
      <c r="B214" s="169" t="s">
        <v>126</v>
      </c>
      <c r="C214" s="168" t="s">
        <v>204</v>
      </c>
      <c r="D214" s="167"/>
      <c r="E214" s="167"/>
    </row>
    <row r="215" spans="1:14" ht="25.5">
      <c r="A215" s="164"/>
      <c r="B215" s="170" t="s">
        <v>127</v>
      </c>
      <c r="C215" s="231" t="s">
        <v>205</v>
      </c>
      <c r="D215" s="167"/>
      <c r="E215" s="167"/>
    </row>
    <row r="216" spans="1:14">
      <c r="B216" s="245"/>
      <c r="C216" s="35"/>
      <c r="D216" s="35"/>
      <c r="E216" s="35"/>
      <c r="F216" s="35"/>
      <c r="G216" s="35"/>
      <c r="H216" s="35"/>
      <c r="I216" s="35"/>
      <c r="J216" s="35"/>
    </row>
    <row r="217" spans="1:14">
      <c r="B217" s="165"/>
      <c r="I217" s="49"/>
    </row>
    <row r="218" spans="1:14">
      <c r="B218" s="611" t="s">
        <v>406</v>
      </c>
      <c r="I218" s="49"/>
    </row>
    <row r="219" spans="1:14">
      <c r="B219" s="613" t="s">
        <v>284</v>
      </c>
    </row>
    <row r="220" spans="1:14">
      <c r="B220" s="614" t="s">
        <v>283</v>
      </c>
    </row>
    <row r="221" spans="1:14">
      <c r="B221" s="617" t="s">
        <v>281</v>
      </c>
    </row>
    <row r="222" spans="1:14">
      <c r="B222" s="615"/>
    </row>
    <row r="223" spans="1:14">
      <c r="B223" s="174"/>
    </row>
    <row r="224" spans="1:14">
      <c r="B224" s="612" t="s">
        <v>279</v>
      </c>
    </row>
    <row r="225" spans="2:2">
      <c r="B225" s="616" t="s">
        <v>407</v>
      </c>
    </row>
    <row r="226" spans="2:2">
      <c r="B226" s="614" t="s">
        <v>408</v>
      </c>
    </row>
    <row r="227" spans="2:2">
      <c r="B227" s="614" t="s">
        <v>290</v>
      </c>
    </row>
    <row r="228" spans="2:2">
      <c r="B228" s="614" t="s">
        <v>409</v>
      </c>
    </row>
    <row r="229" spans="2:2">
      <c r="B229" s="614" t="s">
        <v>410</v>
      </c>
    </row>
    <row r="230" spans="2:2">
      <c r="B230" s="614" t="s">
        <v>282</v>
      </c>
    </row>
    <row r="231" spans="2:2">
      <c r="B231" s="614" t="s">
        <v>411</v>
      </c>
    </row>
    <row r="232" spans="2:2">
      <c r="B232" s="614"/>
    </row>
    <row r="233" spans="2:2">
      <c r="B233" s="615"/>
    </row>
    <row r="234" spans="2:2">
      <c r="B234" s="174"/>
    </row>
    <row r="235" spans="2:2">
      <c r="B235" s="612" t="s">
        <v>289</v>
      </c>
    </row>
    <row r="236" spans="2:2">
      <c r="B236" s="616" t="s">
        <v>412</v>
      </c>
    </row>
    <row r="237" spans="2:2">
      <c r="B237" s="614" t="s">
        <v>413</v>
      </c>
    </row>
    <row r="238" spans="2:2">
      <c r="B238" s="614" t="s">
        <v>414</v>
      </c>
    </row>
    <row r="239" spans="2:2">
      <c r="B239" s="614" t="s">
        <v>415</v>
      </c>
    </row>
    <row r="240" spans="2:2">
      <c r="B240" s="614" t="s">
        <v>416</v>
      </c>
    </row>
    <row r="241" spans="2:2">
      <c r="B241" s="615"/>
    </row>
    <row r="242" spans="2:2">
      <c r="B242" s="174"/>
    </row>
    <row r="243" spans="2:2">
      <c r="B243" s="612" t="s">
        <v>417</v>
      </c>
    </row>
    <row r="244" spans="2:2">
      <c r="B244" s="616" t="s">
        <v>418</v>
      </c>
    </row>
    <row r="245" spans="2:2">
      <c r="B245" s="614" t="s">
        <v>419</v>
      </c>
    </row>
    <row r="246" spans="2:2">
      <c r="B246" s="615"/>
    </row>
    <row r="247" spans="2:2">
      <c r="B247" s="174"/>
    </row>
    <row r="248" spans="2:2">
      <c r="B248" s="612" t="s">
        <v>420</v>
      </c>
    </row>
    <row r="249" spans="2:2">
      <c r="B249" s="616" t="s">
        <v>461</v>
      </c>
    </row>
    <row r="250" spans="2:2">
      <c r="B250" s="614" t="s">
        <v>460</v>
      </c>
    </row>
    <row r="251" spans="2:2">
      <c r="B251" s="615" t="s">
        <v>264</v>
      </c>
    </row>
    <row r="252" spans="2:2">
      <c r="B252" s="174"/>
    </row>
    <row r="253" spans="2:2">
      <c r="B253" s="612" t="s">
        <v>280</v>
      </c>
    </row>
    <row r="254" spans="2:2">
      <c r="B254" s="616" t="s">
        <v>421</v>
      </c>
    </row>
    <row r="255" spans="2:2">
      <c r="B255" s="614" t="s">
        <v>465</v>
      </c>
    </row>
    <row r="256" spans="2:2">
      <c r="B256" s="614"/>
    </row>
    <row r="257" spans="2:2">
      <c r="B257" s="615"/>
    </row>
    <row r="258" spans="2:2">
      <c r="B258" s="174"/>
    </row>
    <row r="259" spans="2:2">
      <c r="B259" s="612" t="s">
        <v>285</v>
      </c>
    </row>
    <row r="260" spans="2:2">
      <c r="B260" s="616" t="s">
        <v>286</v>
      </c>
    </row>
    <row r="261" spans="2:2">
      <c r="B261" s="614" t="s">
        <v>291</v>
      </c>
    </row>
    <row r="262" spans="2:2">
      <c r="B262" s="614"/>
    </row>
    <row r="263" spans="2:2">
      <c r="B263" s="615"/>
    </row>
    <row r="264" spans="2:2">
      <c r="B264" s="174"/>
    </row>
    <row r="265" spans="2:2">
      <c r="B265" s="612" t="s">
        <v>422</v>
      </c>
    </row>
    <row r="266" spans="2:2">
      <c r="B266" s="616" t="s">
        <v>284</v>
      </c>
    </row>
    <row r="267" spans="2:2">
      <c r="B267" s="614" t="s">
        <v>283</v>
      </c>
    </row>
    <row r="268" spans="2:2">
      <c r="B268" s="615"/>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107" priority="21">
      <formula>AND(#REF!="Actuals",#REF!="Forecast")</formula>
    </cfRule>
  </conditionalFormatting>
  <conditionalFormatting sqref="C47">
    <cfRule type="expression" dxfId="106" priority="19">
      <formula>AND(#REF!="Actuals",#REF!="Forecast")</formula>
    </cfRule>
  </conditionalFormatting>
  <conditionalFormatting sqref="C50:J50">
    <cfRule type="expression" dxfId="105" priority="18">
      <formula>AND(#REF!="Actuals",#REF!="Forecast")</formula>
    </cfRule>
  </conditionalFormatting>
  <conditionalFormatting sqref="B14:D30">
    <cfRule type="cellIs" dxfId="104" priority="15" operator="equal">
      <formula>"Forecast"</formula>
    </cfRule>
  </conditionalFormatting>
  <conditionalFormatting sqref="B23:C30">
    <cfRule type="expression" dxfId="103" priority="112">
      <formula>$D13="Forecast"</formula>
    </cfRule>
  </conditionalFormatting>
  <conditionalFormatting sqref="K71">
    <cfRule type="expression" dxfId="102" priority="6">
      <formula>AND(#REF!="Actuals",#REF!="Forecast")</formula>
    </cfRule>
  </conditionalFormatting>
  <conditionalFormatting sqref="K72:T72">
    <cfRule type="expression" dxfId="101" priority="5">
      <formula>AND(#REF!="Actuals",#REF!="Forecast")</formula>
    </cfRule>
  </conditionalFormatting>
  <conditionalFormatting sqref="C62:L62">
    <cfRule type="expression" dxfId="100" priority="4">
      <formula>AND(#REF!="Actuals",#REF!="Forecast")</formula>
    </cfRule>
  </conditionalFormatting>
  <conditionalFormatting sqref="C118:L118">
    <cfRule type="expression" dxfId="99" priority="2">
      <formula>AND(#REF!="Actuals",#REF!="Forecast")</formula>
    </cfRule>
  </conditionalFormatting>
  <conditionalFormatting sqref="E27:F27">
    <cfRule type="expression" dxfId="98" priority="1">
      <formula>$D17="Forecast"</formula>
    </cfRule>
  </conditionalFormatting>
  <pageMargins left="0.7" right="0.7" top="0.75" bottom="0.75" header="0.3" footer="0.3"/>
  <pageSetup paperSize="9" orientation="portrait" r:id="rId1"/>
  <headerFooter>
    <oddFooter>&amp;C&amp;1#&amp;"Calibri"&amp;12&amp;K008000Internal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heetView>
  </sheetViews>
  <sheetFormatPr defaultRowHeight="12.75"/>
  <cols>
    <col min="1" max="1" width="8.375" customWidth="1"/>
    <col min="2" max="2" width="23.75" customWidth="1"/>
    <col min="3" max="3" width="25.75" customWidth="1"/>
    <col min="4" max="4" width="9.75" customWidth="1"/>
  </cols>
  <sheetData>
    <row r="1" spans="1:14" s="27" customFormat="1" ht="20.25">
      <c r="A1" s="666" t="s">
        <v>80</v>
      </c>
      <c r="B1" s="666"/>
      <c r="C1" s="666"/>
      <c r="D1" s="666"/>
      <c r="E1" s="666"/>
      <c r="F1" s="666"/>
      <c r="G1" s="666"/>
      <c r="H1" s="666"/>
      <c r="I1" s="28" t="s">
        <v>81</v>
      </c>
      <c r="J1" s="29"/>
      <c r="K1" s="29"/>
      <c r="L1" s="29"/>
      <c r="M1" s="29"/>
    </row>
    <row r="2" spans="1:14" s="27" customFormat="1" ht="20.25">
      <c r="A2" s="666" t="str">
        <f>'RFPR cover'!C5</f>
        <v>SPMW</v>
      </c>
      <c r="B2" s="666"/>
      <c r="C2" s="666"/>
      <c r="D2" s="666"/>
      <c r="E2" s="666"/>
      <c r="F2" s="666"/>
      <c r="G2" s="666"/>
      <c r="H2" s="666"/>
      <c r="I2" s="29"/>
      <c r="J2" s="29"/>
      <c r="K2" s="29"/>
      <c r="L2" s="29"/>
      <c r="M2" s="29"/>
      <c r="N2" s="298"/>
    </row>
    <row r="3" spans="1:14" s="27" customFormat="1" ht="20.25">
      <c r="A3" s="666">
        <f>'RFPR cover'!C7</f>
        <v>2022</v>
      </c>
      <c r="B3" s="666"/>
      <c r="C3" s="666"/>
      <c r="D3" s="666"/>
      <c r="E3" s="666"/>
      <c r="F3" s="666"/>
      <c r="G3" s="666"/>
      <c r="H3" s="666"/>
      <c r="I3" s="29"/>
      <c r="J3" s="29"/>
      <c r="K3" s="29"/>
      <c r="L3" s="29"/>
      <c r="M3" s="29"/>
      <c r="N3" s="298"/>
    </row>
    <row r="4" spans="1:14">
      <c r="A4" s="21"/>
      <c r="B4" s="21"/>
      <c r="C4" s="21"/>
      <c r="D4" s="21"/>
      <c r="E4" s="21"/>
      <c r="F4" s="21"/>
      <c r="G4" s="21"/>
      <c r="H4" s="21"/>
      <c r="I4" s="445"/>
      <c r="J4" s="445"/>
      <c r="K4" s="445"/>
      <c r="L4" s="445"/>
      <c r="M4" s="445"/>
      <c r="N4" s="35"/>
    </row>
    <row r="5" spans="1:14">
      <c r="A5" s="21"/>
      <c r="B5" s="21"/>
      <c r="C5" s="21"/>
      <c r="D5" s="21"/>
      <c r="E5" s="21"/>
      <c r="F5" s="21"/>
      <c r="G5" s="21"/>
      <c r="H5" s="21"/>
      <c r="I5" s="445"/>
      <c r="J5" s="445"/>
      <c r="K5" s="445"/>
      <c r="L5" s="445"/>
      <c r="M5" s="445"/>
      <c r="N5" s="35"/>
    </row>
    <row r="6" spans="1:14">
      <c r="A6" s="21"/>
      <c r="B6" s="22" t="s">
        <v>82</v>
      </c>
      <c r="C6" s="21"/>
      <c r="D6" s="21"/>
      <c r="E6" s="21"/>
      <c r="F6" s="21"/>
      <c r="G6" s="21"/>
      <c r="H6" s="21"/>
      <c r="I6" s="445"/>
      <c r="J6" s="445"/>
      <c r="K6" s="445"/>
      <c r="L6" s="445"/>
      <c r="M6" s="445"/>
      <c r="N6" s="35"/>
    </row>
    <row r="7" spans="1:14">
      <c r="A7" s="21"/>
      <c r="B7" s="21"/>
      <c r="C7" s="21"/>
      <c r="D7" s="21"/>
      <c r="E7" s="21"/>
      <c r="F7" s="21"/>
      <c r="G7" s="21"/>
      <c r="H7" s="21"/>
      <c r="I7" s="445"/>
      <c r="J7" s="445"/>
      <c r="K7" s="445"/>
      <c r="L7" s="445"/>
      <c r="M7" s="445"/>
      <c r="N7" s="35"/>
    </row>
    <row r="8" spans="1:14">
      <c r="A8" s="21"/>
      <c r="B8" s="39" t="s">
        <v>83</v>
      </c>
      <c r="C8" s="39" t="s">
        <v>84</v>
      </c>
      <c r="D8" s="978" t="s">
        <v>85</v>
      </c>
      <c r="E8" s="979"/>
      <c r="F8" s="979"/>
      <c r="G8" s="979"/>
      <c r="H8" s="979"/>
      <c r="I8" s="445"/>
      <c r="J8" s="445"/>
      <c r="K8" s="445"/>
      <c r="L8" s="445"/>
      <c r="M8" s="445"/>
      <c r="N8" s="35"/>
    </row>
    <row r="9" spans="1:14">
      <c r="A9" s="21"/>
      <c r="B9" s="23" t="s">
        <v>86</v>
      </c>
      <c r="C9" s="38"/>
      <c r="D9" s="976"/>
      <c r="E9" s="977"/>
      <c r="F9" s="977"/>
      <c r="G9" s="977"/>
      <c r="H9" s="977"/>
      <c r="I9" s="21"/>
      <c r="J9" s="21"/>
      <c r="K9" s="21"/>
      <c r="L9" s="21"/>
      <c r="M9" s="21"/>
    </row>
    <row r="10" spans="1:14">
      <c r="A10" s="21"/>
      <c r="B10" s="23" t="s">
        <v>87</v>
      </c>
      <c r="C10" s="38"/>
      <c r="D10" s="976"/>
      <c r="E10" s="977"/>
      <c r="F10" s="977"/>
      <c r="G10" s="977"/>
      <c r="H10" s="977"/>
      <c r="I10" s="21"/>
      <c r="J10" s="21"/>
      <c r="K10" s="21"/>
      <c r="L10" s="21"/>
      <c r="M10" s="21"/>
    </row>
    <row r="11" spans="1:14">
      <c r="A11" s="21"/>
      <c r="B11" s="23" t="s">
        <v>88</v>
      </c>
      <c r="C11" s="38"/>
      <c r="D11" s="976"/>
      <c r="E11" s="977"/>
      <c r="F11" s="977"/>
      <c r="G11" s="977"/>
      <c r="H11" s="977"/>
      <c r="I11" s="21"/>
      <c r="J11" s="21"/>
      <c r="K11" s="21"/>
      <c r="L11" s="21"/>
      <c r="M11" s="21"/>
    </row>
    <row r="12" spans="1:14">
      <c r="A12" s="21"/>
      <c r="B12" s="23" t="s">
        <v>89</v>
      </c>
      <c r="C12" s="38"/>
      <c r="D12" s="976"/>
      <c r="E12" s="977"/>
      <c r="F12" s="977"/>
      <c r="G12" s="977"/>
      <c r="H12" s="977"/>
      <c r="I12" s="21"/>
      <c r="J12" s="21"/>
      <c r="K12" s="21"/>
      <c r="L12" s="21"/>
      <c r="M12" s="21"/>
    </row>
    <row r="13" spans="1:14">
      <c r="A13" s="21"/>
      <c r="B13" s="23" t="s">
        <v>90</v>
      </c>
      <c r="C13" s="38"/>
      <c r="D13" s="976"/>
      <c r="E13" s="977"/>
      <c r="F13" s="977"/>
      <c r="G13" s="977"/>
      <c r="H13" s="977"/>
      <c r="I13" s="21"/>
      <c r="J13" s="21"/>
      <c r="K13" s="21"/>
      <c r="L13" s="21"/>
      <c r="M13" s="21"/>
    </row>
    <row r="14" spans="1:14">
      <c r="A14" s="21"/>
      <c r="B14" s="23" t="s">
        <v>91</v>
      </c>
      <c r="C14" s="38"/>
      <c r="D14" s="976"/>
      <c r="E14" s="977"/>
      <c r="F14" s="977"/>
      <c r="G14" s="977"/>
      <c r="H14" s="977"/>
      <c r="I14" s="21"/>
      <c r="J14" s="21"/>
      <c r="K14" s="21"/>
      <c r="L14" s="21"/>
      <c r="M14" s="21"/>
    </row>
    <row r="15" spans="1:14">
      <c r="A15" s="21"/>
      <c r="B15" s="23" t="s">
        <v>92</v>
      </c>
      <c r="C15" s="38"/>
      <c r="D15" s="976"/>
      <c r="E15" s="977"/>
      <c r="F15" s="977"/>
      <c r="G15" s="977"/>
      <c r="H15" s="977"/>
      <c r="I15" s="21"/>
      <c r="J15" s="21"/>
      <c r="K15" s="21"/>
      <c r="L15" s="21"/>
      <c r="M15" s="21"/>
    </row>
    <row r="16" spans="1:14">
      <c r="A16" s="21"/>
      <c r="B16" s="23" t="s">
        <v>93</v>
      </c>
      <c r="C16" s="38"/>
      <c r="D16" s="976"/>
      <c r="E16" s="977"/>
      <c r="F16" s="977"/>
      <c r="G16" s="977"/>
      <c r="H16" s="977"/>
      <c r="I16" s="21"/>
      <c r="J16" s="21"/>
      <c r="K16" s="21"/>
      <c r="L16" s="21"/>
      <c r="M16" s="21"/>
    </row>
    <row r="17" spans="1:13">
      <c r="A17" s="21"/>
      <c r="B17" s="23" t="s">
        <v>94</v>
      </c>
      <c r="C17" s="38"/>
      <c r="D17" s="976"/>
      <c r="E17" s="977"/>
      <c r="F17" s="977"/>
      <c r="G17" s="977"/>
      <c r="H17" s="977"/>
      <c r="I17" s="21"/>
      <c r="J17" s="21"/>
      <c r="K17" s="21"/>
      <c r="L17" s="21"/>
      <c r="M17" s="21"/>
    </row>
    <row r="18" spans="1:13">
      <c r="A18" s="21"/>
      <c r="B18" s="23" t="s">
        <v>95</v>
      </c>
      <c r="C18" s="38"/>
      <c r="D18" s="976"/>
      <c r="E18" s="977"/>
      <c r="F18" s="977"/>
      <c r="G18" s="977"/>
      <c r="H18" s="977"/>
      <c r="I18" s="21"/>
      <c r="J18" s="21"/>
      <c r="K18" s="21"/>
      <c r="L18" s="21"/>
      <c r="M18" s="21"/>
    </row>
    <row r="19" spans="1:13">
      <c r="A19" s="21"/>
      <c r="B19" s="21"/>
      <c r="C19" s="21"/>
      <c r="D19" s="21"/>
      <c r="E19" s="21"/>
      <c r="F19" s="21"/>
      <c r="G19" s="21"/>
      <c r="H19" s="21"/>
      <c r="I19" s="21"/>
      <c r="J19" s="21"/>
      <c r="K19" s="21"/>
      <c r="L19" s="21"/>
      <c r="M19" s="21"/>
    </row>
    <row r="20" spans="1:13">
      <c r="A20" s="21"/>
      <c r="B20" s="174"/>
      <c r="C20" s="21"/>
      <c r="D20" s="21"/>
      <c r="E20" s="21"/>
      <c r="F20" s="21"/>
      <c r="G20" s="21"/>
      <c r="H20" s="21"/>
      <c r="I20" s="21"/>
      <c r="J20" s="21"/>
      <c r="K20" s="21"/>
      <c r="L20" s="21"/>
    </row>
    <row r="21" spans="1:13">
      <c r="A21" s="21"/>
      <c r="B21" s="227" t="s">
        <v>258</v>
      </c>
      <c r="C21" s="21"/>
      <c r="D21" s="21"/>
      <c r="E21" s="21"/>
      <c r="F21" s="21"/>
      <c r="G21" s="21"/>
      <c r="H21" s="21"/>
      <c r="I21" s="21"/>
      <c r="J21" s="21"/>
      <c r="K21" s="21"/>
      <c r="L21" s="21"/>
    </row>
    <row r="22" spans="1:13">
      <c r="A22" s="21"/>
      <c r="B22" s="227" t="s">
        <v>116</v>
      </c>
      <c r="C22" s="21"/>
      <c r="D22" s="21"/>
      <c r="E22" s="21"/>
      <c r="F22" s="21"/>
      <c r="G22" s="21"/>
      <c r="H22" s="21"/>
      <c r="I22" s="21"/>
      <c r="J22" s="21"/>
      <c r="K22" s="21"/>
      <c r="L22" s="21"/>
    </row>
    <row r="23" spans="1:13">
      <c r="A23" s="21"/>
      <c r="B23" s="227" t="s">
        <v>259</v>
      </c>
      <c r="C23" s="21"/>
      <c r="D23" s="21"/>
      <c r="E23" s="21"/>
      <c r="F23" s="21"/>
      <c r="G23" s="21"/>
      <c r="H23" s="21"/>
      <c r="I23" s="21"/>
      <c r="J23" s="21"/>
      <c r="K23" s="21"/>
      <c r="L23" s="21"/>
    </row>
    <row r="24" spans="1:13">
      <c r="B24" s="227" t="s">
        <v>96</v>
      </c>
    </row>
    <row r="25" spans="1:13">
      <c r="B25" s="227" t="s">
        <v>257</v>
      </c>
    </row>
    <row r="26" spans="1:13">
      <c r="B26" s="227" t="s">
        <v>97</v>
      </c>
    </row>
    <row r="27" spans="1:13">
      <c r="B27" s="227" t="s">
        <v>260</v>
      </c>
    </row>
    <row r="28" spans="1:13">
      <c r="B28" s="227" t="s">
        <v>275</v>
      </c>
    </row>
    <row r="29" spans="1:13">
      <c r="B29" s="227" t="s">
        <v>233</v>
      </c>
    </row>
    <row r="30" spans="1:13">
      <c r="B30" s="227" t="s">
        <v>278</v>
      </c>
    </row>
    <row r="31" spans="1:13">
      <c r="B31" s="227" t="s">
        <v>98</v>
      </c>
    </row>
    <row r="32" spans="1:13">
      <c r="B32" s="227" t="s">
        <v>256</v>
      </c>
    </row>
    <row r="33" spans="2:2">
      <c r="B33" s="227" t="s">
        <v>261</v>
      </c>
    </row>
    <row r="34" spans="2:2">
      <c r="B34" s="227" t="s">
        <v>254</v>
      </c>
    </row>
    <row r="35" spans="2:2">
      <c r="B35" s="227" t="s">
        <v>262</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6"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B75" sqref="A1:XFD1048576"/>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s="27" customFormat="1" ht="20.25">
      <c r="A1" s="25" t="s">
        <v>118</v>
      </c>
      <c r="B1" s="25"/>
      <c r="C1" s="25"/>
      <c r="D1" s="25"/>
    </row>
    <row r="2" spans="1:4" s="27" customFormat="1" ht="20.25">
      <c r="A2" s="25" t="str">
        <f>'RFPR cover'!C5</f>
        <v>SPMW</v>
      </c>
      <c r="B2" s="25"/>
      <c r="C2" s="25"/>
      <c r="D2" s="25"/>
    </row>
    <row r="3" spans="1:4" s="27" customFormat="1" ht="20.25">
      <c r="A3" s="25">
        <f>'RFPR cover'!C7</f>
        <v>2022</v>
      </c>
      <c r="B3" s="25"/>
      <c r="C3" s="25"/>
      <c r="D3" s="25"/>
    </row>
    <row r="4" spans="1:4" s="27" customFormat="1" ht="20.25">
      <c r="A4" s="634"/>
      <c r="B4" s="634"/>
      <c r="C4" s="634"/>
      <c r="D4" s="634"/>
    </row>
    <row r="5" spans="1:4" ht="30">
      <c r="A5" s="631" t="s">
        <v>444</v>
      </c>
      <c r="B5" s="632" t="s">
        <v>445</v>
      </c>
      <c r="C5" s="633" t="s">
        <v>446</v>
      </c>
    </row>
    <row r="6" spans="1:4">
      <c r="A6" s="275">
        <v>1.1000000000000001</v>
      </c>
      <c r="B6" s="640" t="s">
        <v>526</v>
      </c>
      <c r="C6" s="642" t="s">
        <v>527</v>
      </c>
    </row>
    <row r="7" spans="1:4">
      <c r="A7" s="275">
        <v>1.1000000000000001</v>
      </c>
      <c r="B7" s="640" t="s">
        <v>526</v>
      </c>
      <c r="C7" s="642" t="s">
        <v>528</v>
      </c>
    </row>
    <row r="8" spans="1:4">
      <c r="A8" s="275">
        <v>1.1000000000000001</v>
      </c>
      <c r="B8" s="638" t="s">
        <v>529</v>
      </c>
      <c r="C8" s="641" t="s">
        <v>530</v>
      </c>
    </row>
    <row r="9" spans="1:4" ht="25.5">
      <c r="A9" s="275">
        <v>1.1000000000000001</v>
      </c>
      <c r="B9" s="638" t="s">
        <v>532</v>
      </c>
      <c r="C9" s="641" t="s">
        <v>533</v>
      </c>
    </row>
    <row r="10" spans="1:4">
      <c r="A10" s="275">
        <v>1.1000000000000001</v>
      </c>
      <c r="B10" s="638" t="s">
        <v>532</v>
      </c>
      <c r="C10" s="641" t="s">
        <v>535</v>
      </c>
    </row>
    <row r="11" spans="1:4">
      <c r="A11" s="275">
        <v>1.1000000000000001</v>
      </c>
      <c r="B11" s="638" t="s">
        <v>537</v>
      </c>
      <c r="C11" s="641" t="s">
        <v>536</v>
      </c>
    </row>
    <row r="12" spans="1:4" ht="25.5">
      <c r="A12" s="275">
        <v>1.1000000000000001</v>
      </c>
      <c r="B12" s="638" t="s">
        <v>532</v>
      </c>
      <c r="C12" s="641" t="s">
        <v>538</v>
      </c>
    </row>
    <row r="13" spans="1:4" ht="51">
      <c r="A13" s="275">
        <v>1.1000000000000001</v>
      </c>
      <c r="B13" s="638" t="s">
        <v>532</v>
      </c>
      <c r="C13" s="641" t="s">
        <v>539</v>
      </c>
    </row>
    <row r="14" spans="1:4">
      <c r="A14" s="276">
        <v>1.1000000000000001</v>
      </c>
      <c r="B14" s="638" t="s">
        <v>540</v>
      </c>
      <c r="C14" s="641" t="s">
        <v>541</v>
      </c>
    </row>
    <row r="15" spans="1:4">
      <c r="A15" s="276">
        <v>1.1000000000000001</v>
      </c>
      <c r="B15" s="638" t="s">
        <v>529</v>
      </c>
      <c r="C15" s="641" t="s">
        <v>542</v>
      </c>
    </row>
    <row r="16" spans="1:4" ht="38.25">
      <c r="A16" s="276">
        <v>1.1000000000000001</v>
      </c>
      <c r="B16" s="638" t="s">
        <v>543</v>
      </c>
      <c r="C16" s="641" t="s">
        <v>544</v>
      </c>
    </row>
    <row r="17" spans="1:3">
      <c r="A17" s="276">
        <v>1.1000000000000001</v>
      </c>
      <c r="B17" s="638" t="s">
        <v>537</v>
      </c>
      <c r="C17" s="228" t="s">
        <v>545</v>
      </c>
    </row>
    <row r="18" spans="1:3" ht="25.5">
      <c r="A18" s="276">
        <v>1.1000000000000001</v>
      </c>
      <c r="B18" s="638" t="s">
        <v>537</v>
      </c>
      <c r="C18" s="228" t="s">
        <v>546</v>
      </c>
    </row>
    <row r="19" spans="1:3">
      <c r="A19" s="276">
        <v>1.1000000000000001</v>
      </c>
      <c r="B19" s="638" t="s">
        <v>547</v>
      </c>
      <c r="C19" s="228" t="s">
        <v>548</v>
      </c>
    </row>
    <row r="20" spans="1:3" ht="25.5">
      <c r="A20" s="276">
        <v>1.1000000000000001</v>
      </c>
      <c r="B20" s="638" t="s">
        <v>547</v>
      </c>
      <c r="C20" s="228" t="s">
        <v>559</v>
      </c>
    </row>
    <row r="21" spans="1:3">
      <c r="A21" s="276">
        <v>1.1000000000000001</v>
      </c>
      <c r="B21" s="638" t="s">
        <v>560</v>
      </c>
      <c r="C21" s="228" t="s">
        <v>561</v>
      </c>
    </row>
    <row r="22" spans="1:3">
      <c r="A22" s="276">
        <v>1.1000000000000001</v>
      </c>
      <c r="B22" s="276" t="s">
        <v>540</v>
      </c>
      <c r="C22" s="228" t="s">
        <v>562</v>
      </c>
    </row>
    <row r="23" spans="1:3" ht="25.5">
      <c r="A23" s="276">
        <v>1.1000000000000001</v>
      </c>
      <c r="B23" s="638" t="s">
        <v>540</v>
      </c>
      <c r="C23" s="228" t="s">
        <v>563</v>
      </c>
    </row>
    <row r="24" spans="1:3" ht="25.5">
      <c r="A24" s="276">
        <v>1.1000000000000001</v>
      </c>
      <c r="B24" s="638" t="s">
        <v>543</v>
      </c>
      <c r="C24" s="228" t="s">
        <v>564</v>
      </c>
    </row>
    <row r="25" spans="1:3" ht="26.25" thickBot="1">
      <c r="A25" s="693">
        <v>1.1000000000000001</v>
      </c>
      <c r="B25" s="694" t="s">
        <v>547</v>
      </c>
      <c r="C25" s="695" t="s">
        <v>566</v>
      </c>
    </row>
    <row r="26" spans="1:3">
      <c r="A26" s="690">
        <v>1.1000000000000001</v>
      </c>
      <c r="B26" s="691" t="s">
        <v>540</v>
      </c>
      <c r="C26" s="692" t="s">
        <v>567</v>
      </c>
    </row>
    <row r="27" spans="1:3">
      <c r="A27" s="690">
        <v>1.1000000000000001</v>
      </c>
      <c r="B27" s="638" t="s">
        <v>547</v>
      </c>
      <c r="C27" s="228" t="s">
        <v>568</v>
      </c>
    </row>
    <row r="28" spans="1:3" ht="25.5">
      <c r="A28" s="276">
        <v>1.1000000000000001</v>
      </c>
      <c r="B28" s="638" t="s">
        <v>547</v>
      </c>
      <c r="C28" s="228" t="s">
        <v>569</v>
      </c>
    </row>
    <row r="29" spans="1:3">
      <c r="A29" s="696">
        <v>2</v>
      </c>
      <c r="B29" s="638" t="s">
        <v>547</v>
      </c>
      <c r="C29" s="228" t="s">
        <v>572</v>
      </c>
    </row>
    <row r="30" spans="1:3">
      <c r="A30" s="696">
        <v>2</v>
      </c>
      <c r="B30" s="638" t="s">
        <v>547</v>
      </c>
      <c r="C30" s="228" t="s">
        <v>573</v>
      </c>
    </row>
    <row r="31" spans="1:3">
      <c r="A31" s="696">
        <v>2</v>
      </c>
      <c r="B31" s="638" t="s">
        <v>547</v>
      </c>
      <c r="C31" s="228" t="s">
        <v>576</v>
      </c>
    </row>
    <row r="32" spans="1:3" ht="25.5">
      <c r="A32" s="696">
        <v>2</v>
      </c>
      <c r="B32" s="638" t="s">
        <v>260</v>
      </c>
      <c r="C32" s="647" t="s">
        <v>578</v>
      </c>
    </row>
    <row r="33" spans="1:3" ht="27.75" customHeight="1">
      <c r="A33" s="696">
        <v>2</v>
      </c>
      <c r="B33" s="638" t="s">
        <v>574</v>
      </c>
      <c r="C33" s="228" t="s">
        <v>575</v>
      </c>
    </row>
    <row r="34" spans="1:3">
      <c r="A34" s="276">
        <v>2.1</v>
      </c>
      <c r="B34" s="638" t="s">
        <v>256</v>
      </c>
      <c r="C34" s="228" t="s">
        <v>577</v>
      </c>
    </row>
    <row r="35" spans="1:3" ht="25.5">
      <c r="A35" s="276">
        <v>2.1</v>
      </c>
      <c r="B35" s="638" t="s">
        <v>260</v>
      </c>
      <c r="C35" s="228" t="s">
        <v>579</v>
      </c>
    </row>
    <row r="36" spans="1:3">
      <c r="A36" s="277"/>
      <c r="B36" s="648"/>
      <c r="C36" s="228"/>
    </row>
    <row r="37" spans="1:3">
      <c r="A37" s="277"/>
      <c r="B37" s="648"/>
      <c r="C37" s="228"/>
    </row>
    <row r="38" spans="1:3">
      <c r="A38" s="277"/>
      <c r="B38" s="648"/>
      <c r="C38" s="228"/>
    </row>
    <row r="39" spans="1:3">
      <c r="A39" s="277"/>
      <c r="B39" s="648"/>
      <c r="C39" s="228"/>
    </row>
    <row r="40" spans="1:3">
      <c r="A40" s="276"/>
      <c r="B40" s="648"/>
      <c r="C40" s="228"/>
    </row>
    <row r="41" spans="1:3">
      <c r="A41" s="277"/>
      <c r="B41" s="648"/>
      <c r="C41" s="228"/>
    </row>
    <row r="42" spans="1:3">
      <c r="A42" s="277"/>
      <c r="B42" s="648"/>
      <c r="C42" s="228"/>
    </row>
    <row r="43" spans="1:3">
      <c r="A43" s="277"/>
      <c r="B43" s="648"/>
      <c r="C43" s="228"/>
    </row>
    <row r="44" spans="1:3">
      <c r="A44" s="277"/>
      <c r="B44" s="638"/>
      <c r="C44" s="228"/>
    </row>
    <row r="45" spans="1:3">
      <c r="A45" s="277"/>
      <c r="B45" s="638"/>
      <c r="C45" s="228"/>
    </row>
    <row r="46" spans="1:3">
      <c r="A46" s="277"/>
      <c r="B46" s="638"/>
      <c r="C46" s="228"/>
    </row>
    <row r="47" spans="1:3">
      <c r="A47" s="277"/>
      <c r="B47" s="638"/>
      <c r="C47" s="228"/>
    </row>
    <row r="48" spans="1:3">
      <c r="A48" s="277"/>
      <c r="B48" s="638"/>
      <c r="C48" s="228"/>
    </row>
    <row r="49" spans="1:3">
      <c r="A49" s="277"/>
      <c r="B49" s="638"/>
      <c r="C49" s="228"/>
    </row>
    <row r="50" spans="1:3">
      <c r="A50" s="277"/>
      <c r="B50" s="638"/>
      <c r="C50" s="228"/>
    </row>
    <row r="51" spans="1:3">
      <c r="A51" s="277"/>
      <c r="B51" s="638"/>
      <c r="C51" s="228"/>
    </row>
    <row r="52" spans="1:3">
      <c r="A52" s="277"/>
      <c r="B52" s="638"/>
      <c r="C52" s="228"/>
    </row>
    <row r="53" spans="1:3">
      <c r="A53" s="277"/>
      <c r="B53" s="638"/>
      <c r="C53" s="228"/>
    </row>
    <row r="54" spans="1:3">
      <c r="A54" s="277"/>
      <c r="B54" s="653"/>
      <c r="C54" s="654"/>
    </row>
    <row r="55" spans="1:3">
      <c r="A55" s="277"/>
      <c r="B55" s="638"/>
      <c r="C55" s="228"/>
    </row>
    <row r="56" spans="1:3">
      <c r="A56" s="277"/>
      <c r="B56" s="638"/>
      <c r="C56" s="228"/>
    </row>
    <row r="57" spans="1:3">
      <c r="A57" s="277"/>
      <c r="B57" s="638"/>
      <c r="C57" s="228"/>
    </row>
    <row r="58" spans="1:3">
      <c r="A58" s="277"/>
      <c r="B58" s="638"/>
      <c r="C58" s="228"/>
    </row>
    <row r="59" spans="1:3">
      <c r="A59" s="277"/>
      <c r="B59" s="638"/>
      <c r="C59" s="647"/>
    </row>
    <row r="60" spans="1:3">
      <c r="A60" s="278"/>
      <c r="B60" s="639"/>
      <c r="C60" s="229"/>
    </row>
    <row r="61" spans="1:3">
      <c r="A61" s="278"/>
      <c r="B61" s="639"/>
      <c r="C61" s="229"/>
    </row>
    <row r="62" spans="1:3">
      <c r="A62" s="278"/>
      <c r="B62" s="639"/>
      <c r="C62" s="229"/>
    </row>
    <row r="63" spans="1:3">
      <c r="A63" s="278"/>
      <c r="B63" s="639"/>
      <c r="C63" s="229"/>
    </row>
    <row r="64" spans="1:3">
      <c r="A64" s="278"/>
      <c r="B64" s="639"/>
      <c r="C64" s="229"/>
    </row>
    <row r="65" spans="1:3">
      <c r="A65" s="278"/>
      <c r="B65" s="639"/>
      <c r="C65" s="229"/>
    </row>
    <row r="66" spans="1:3">
      <c r="A66" s="278"/>
      <c r="B66" s="639"/>
      <c r="C66" s="229"/>
    </row>
    <row r="67" spans="1:3">
      <c r="A67" s="278"/>
      <c r="B67" s="639"/>
      <c r="C67" s="229"/>
    </row>
  </sheetData>
  <pageMargins left="0.70866141732283472" right="0.70866141732283472" top="0.74803149606299213" bottom="0.74803149606299213" header="0.31496062992125984" footer="0.31496062992125984"/>
  <pageSetup paperSize="8" scale="10" orientation="landscape"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R6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3.375" style="158" customWidth="1"/>
    <col min="3" max="3" width="13.375" style="35" customWidth="1"/>
    <col min="4" max="11" width="9.125" customWidth="1"/>
    <col min="12" max="12" width="3.625" customWidth="1"/>
    <col min="13" max="14" width="13.75" customWidth="1"/>
    <col min="15" max="15" width="5.125" customWidth="1"/>
  </cols>
  <sheetData>
    <row r="1" spans="1:18" s="27" customFormat="1" ht="20.25">
      <c r="A1" s="671" t="s">
        <v>235</v>
      </c>
      <c r="B1" s="680"/>
      <c r="C1" s="681"/>
      <c r="D1" s="681"/>
      <c r="E1" s="681"/>
      <c r="F1" s="681"/>
      <c r="G1" s="209"/>
      <c r="H1" s="209"/>
      <c r="I1" s="210"/>
      <c r="J1" s="210"/>
      <c r="K1" s="211"/>
      <c r="L1" s="211"/>
      <c r="M1" s="211"/>
      <c r="N1" s="211"/>
      <c r="O1" s="299" t="s">
        <v>81</v>
      </c>
    </row>
    <row r="2" spans="1:18" s="27" customFormat="1" ht="20.25">
      <c r="A2" s="674" t="str">
        <f>'RFPR cover'!C5</f>
        <v>SPMW</v>
      </c>
      <c r="B2" s="682"/>
      <c r="C2" s="666"/>
      <c r="D2" s="666"/>
      <c r="E2" s="666"/>
      <c r="F2" s="666"/>
      <c r="G2" s="25"/>
      <c r="H2" s="25"/>
      <c r="I2" s="24"/>
      <c r="J2" s="24"/>
      <c r="K2" s="24"/>
      <c r="L2" s="24"/>
      <c r="M2" s="24"/>
      <c r="N2" s="24"/>
      <c r="O2" s="103"/>
    </row>
    <row r="3" spans="1:18" s="27" customFormat="1" ht="23.25">
      <c r="A3" s="677">
        <f>'RFPR cover'!C7</f>
        <v>2022</v>
      </c>
      <c r="B3" s="683" t="str">
        <f>IF('RFPR cover'!C5=Data!B98,"Not required to be completed for System Operator",(IF('RFPR cover'!C5=Data!B96,"Not required to be completed for System Operator","")))</f>
        <v/>
      </c>
      <c r="C3" s="684"/>
      <c r="D3" s="684"/>
      <c r="E3" s="684"/>
      <c r="F3" s="684"/>
      <c r="G3" s="212"/>
      <c r="H3" s="212"/>
      <c r="I3" s="208"/>
      <c r="J3" s="208"/>
      <c r="K3" s="208"/>
      <c r="L3" s="208"/>
      <c r="M3" s="208"/>
      <c r="N3" s="208"/>
      <c r="O3" s="213"/>
    </row>
    <row r="4" spans="1:18" ht="12.75" customHeight="1"/>
    <row r="5" spans="1:18">
      <c r="D5" s="315" t="str">
        <f>IF(D6&lt;='RFPR cover'!$C$7,"Actuals","Forecast")</f>
        <v>Actuals</v>
      </c>
      <c r="E5" s="316" t="str">
        <f>IF(E6&lt;='RFPR cover'!$C$7,"Actuals","Forecast")</f>
        <v>Actuals</v>
      </c>
      <c r="F5" s="316" t="str">
        <f>IF(F6&lt;='RFPR cover'!$C$7,"Actuals","Forecast")</f>
        <v>Actuals</v>
      </c>
      <c r="G5" s="316" t="str">
        <f>IF(G6&lt;='RFPR cover'!$C$7,"Actuals","Forecast")</f>
        <v>Actuals</v>
      </c>
      <c r="H5" s="316" t="str">
        <f>IF(H6&lt;='RFPR cover'!$C$7,"Actuals","Forecast")</f>
        <v>Actuals</v>
      </c>
      <c r="I5" s="316" t="str">
        <f>IF(I6&lt;='RFPR cover'!$C$7,"Actuals","Forecast")</f>
        <v>Actuals</v>
      </c>
      <c r="J5" s="316" t="str">
        <f>IF(J6&lt;='RFPR cover'!$C$7,"Actuals","Forecast")</f>
        <v>Actuals</v>
      </c>
      <c r="K5" s="317" t="str">
        <f>IF(K6&lt;='RFPR cover'!$C$7,"Actuals","Forecast")</f>
        <v>Forecast</v>
      </c>
      <c r="L5" s="2"/>
      <c r="M5" s="2"/>
    </row>
    <row r="6" spans="1:18" ht="31.5" customHeight="1">
      <c r="C6" s="134"/>
      <c r="D6" s="99">
        <f>'RFPR cover'!$C$13</f>
        <v>2016</v>
      </c>
      <c r="E6" s="100">
        <f>D6+1</f>
        <v>2017</v>
      </c>
      <c r="F6" s="100">
        <f t="shared" ref="F6:K6" si="0">E6+1</f>
        <v>2018</v>
      </c>
      <c r="G6" s="100">
        <f t="shared" si="0"/>
        <v>2019</v>
      </c>
      <c r="H6" s="100">
        <f t="shared" si="0"/>
        <v>2020</v>
      </c>
      <c r="I6" s="100">
        <f t="shared" si="0"/>
        <v>2021</v>
      </c>
      <c r="J6" s="100">
        <f t="shared" si="0"/>
        <v>2022</v>
      </c>
      <c r="K6" s="157">
        <f t="shared" si="0"/>
        <v>2023</v>
      </c>
      <c r="L6" s="40"/>
      <c r="M6" s="84" t="str">
        <f>"Cumulative to "&amp;'RFPR cover'!$C$7</f>
        <v>Cumulative to 2022</v>
      </c>
      <c r="N6" s="156" t="s">
        <v>106</v>
      </c>
    </row>
    <row r="7" spans="1:18">
      <c r="C7" s="134"/>
      <c r="D7" s="134"/>
      <c r="E7" s="134"/>
      <c r="F7" s="134"/>
      <c r="G7" s="134"/>
      <c r="H7" s="134"/>
      <c r="I7" s="134"/>
      <c r="J7" s="134"/>
      <c r="K7" s="134"/>
      <c r="L7" s="134"/>
      <c r="M7" s="134"/>
      <c r="N7" s="134"/>
      <c r="O7" s="134"/>
    </row>
    <row r="8" spans="1:18">
      <c r="B8" s="436" t="s">
        <v>105</v>
      </c>
      <c r="C8" s="349"/>
      <c r="D8" s="349"/>
      <c r="E8" s="349"/>
      <c r="F8" s="349"/>
      <c r="G8" s="349"/>
      <c r="H8" s="349"/>
      <c r="I8" s="349"/>
      <c r="J8" s="349"/>
      <c r="K8" s="349"/>
      <c r="L8" s="437"/>
      <c r="M8" s="178"/>
      <c r="N8" s="178"/>
      <c r="O8" s="178"/>
    </row>
    <row r="9" spans="1:18">
      <c r="B9" s="159"/>
      <c r="D9" s="35"/>
      <c r="E9" s="35"/>
      <c r="F9" s="35"/>
      <c r="G9" s="35"/>
      <c r="H9" s="35"/>
      <c r="I9" s="35"/>
      <c r="J9" s="35"/>
      <c r="K9" s="35"/>
      <c r="L9" s="40"/>
    </row>
    <row r="10" spans="1:18">
      <c r="B10" s="205" t="s">
        <v>211</v>
      </c>
      <c r="C10" s="207" t="s">
        <v>7</v>
      </c>
      <c r="D10" s="417">
        <f t="shared" ref="D10:K19" si="1">D48/D$65</f>
        <v>0.06</v>
      </c>
      <c r="E10" s="419">
        <f t="shared" si="1"/>
        <v>0.06</v>
      </c>
      <c r="F10" s="419">
        <f t="shared" si="1"/>
        <v>5.9999999999999991E-2</v>
      </c>
      <c r="G10" s="419">
        <f t="shared" si="1"/>
        <v>5.9999999999999991E-2</v>
      </c>
      <c r="H10" s="419">
        <f t="shared" si="1"/>
        <v>0.06</v>
      </c>
      <c r="I10" s="419">
        <f t="shared" si="1"/>
        <v>0.06</v>
      </c>
      <c r="J10" s="419">
        <f t="shared" si="1"/>
        <v>0.06</v>
      </c>
      <c r="K10" s="418">
        <f t="shared" si="1"/>
        <v>0.06</v>
      </c>
      <c r="L10" s="135"/>
      <c r="M10" s="417">
        <f>AVERAGE(D48:INDEX(D48:K48,0,MATCH('RFPR cover'!$C$7,$D$6:$K$6,0)))/AVERAGE($D$65:INDEX($D$65:$K$65,0,MATCH('RFPR cover'!$C$7,$D$6:$K$6,0)))</f>
        <v>0.06</v>
      </c>
      <c r="N10" s="418">
        <f>AVERAGE(D48:K48)/AVERAGE($D$65:$K$65)</f>
        <v>0.06</v>
      </c>
      <c r="Q10" s="831"/>
      <c r="R10" s="426"/>
    </row>
    <row r="11" spans="1:18">
      <c r="B11" s="205" t="str">
        <f t="shared" ref="B11:B18" si="2">B49</f>
        <v>Totex outperformance</v>
      </c>
      <c r="C11" s="207" t="s">
        <v>7</v>
      </c>
      <c r="D11" s="137">
        <f t="shared" si="1"/>
        <v>1.1976385853713996E-3</v>
      </c>
      <c r="E11" s="138">
        <f t="shared" si="1"/>
        <v>6.6894416599666052E-4</v>
      </c>
      <c r="F11" s="138">
        <f t="shared" si="1"/>
        <v>6.7350524119217455E-4</v>
      </c>
      <c r="G11" s="138">
        <f t="shared" si="1"/>
        <v>1.0329598414464411E-3</v>
      </c>
      <c r="H11" s="138">
        <f t="shared" si="1"/>
        <v>-2.1315350000529299E-2</v>
      </c>
      <c r="I11" s="138">
        <f t="shared" si="1"/>
        <v>-2.1032170830511204E-2</v>
      </c>
      <c r="J11" s="138">
        <f t="shared" si="1"/>
        <v>-1.040970943690123E-2</v>
      </c>
      <c r="K11" s="139">
        <f t="shared" si="1"/>
        <v>-3.1901286529048056E-2</v>
      </c>
      <c r="L11" s="135"/>
      <c r="M11" s="137">
        <f>AVERAGE(D49:INDEX(D49:K49,0,MATCH('RFPR cover'!$C$7,$D$6:$K$6,0)))/AVERAGE($D$65:INDEX($D$65:$K$65,0,MATCH('RFPR cover'!$C$7,$D$6:$K$6,0)))</f>
        <v>-7.4045324125350045E-3</v>
      </c>
      <c r="N11" s="139">
        <f t="shared" ref="N11:N19" si="3">AVERAGE(D49:K49)/AVERAGE($D$65:$K$65)</f>
        <v>-1.0678153290186876E-2</v>
      </c>
      <c r="P11" s="135"/>
      <c r="Q11" s="831"/>
      <c r="R11" s="426"/>
    </row>
    <row r="12" spans="1:18">
      <c r="B12" s="205" t="str">
        <f t="shared" si="2"/>
        <v>IQI Reward</v>
      </c>
      <c r="C12" s="207" t="s">
        <v>7</v>
      </c>
      <c r="D12" s="137">
        <f t="shared" si="1"/>
        <v>-4.0038908281198283E-3</v>
      </c>
      <c r="E12" s="138">
        <f t="shared" si="1"/>
        <v>-3.9872904238240333E-3</v>
      </c>
      <c r="F12" s="138">
        <f t="shared" si="1"/>
        <v>-3.493605593769268E-3</v>
      </c>
      <c r="G12" s="138">
        <f t="shared" si="1"/>
        <v>-3.0666717035026606E-3</v>
      </c>
      <c r="H12" s="138">
        <f t="shared" si="1"/>
        <v>-2.9438026355244396E-3</v>
      </c>
      <c r="I12" s="138">
        <f t="shared" si="1"/>
        <v>-2.9302884597416554E-3</v>
      </c>
      <c r="J12" s="138">
        <f t="shared" si="1"/>
        <v>-2.6600722550914773E-3</v>
      </c>
      <c r="K12" s="139">
        <f t="shared" si="1"/>
        <v>-2.3361109067455525E-3</v>
      </c>
      <c r="L12" s="135"/>
      <c r="M12" s="137">
        <f>AVERAGE(D50:INDEX(D50:K50,0,MATCH('RFPR cover'!$C$7,$D$6:$K$6,0)))/AVERAGE($D$65:INDEX($D$65:$K$65,0,MATCH('RFPR cover'!$C$7,$D$6:$K$6,0)))</f>
        <v>-3.2728306320481885E-3</v>
      </c>
      <c r="N12" s="139">
        <f t="shared" si="3"/>
        <v>-3.1476522008701594E-3</v>
      </c>
      <c r="Q12" s="831"/>
      <c r="R12" s="426"/>
    </row>
    <row r="13" spans="1:18">
      <c r="B13" s="205" t="str">
        <f t="shared" si="2"/>
        <v>Broad measure of customer service</v>
      </c>
      <c r="C13" s="207" t="s">
        <v>7</v>
      </c>
      <c r="D13" s="137">
        <f t="shared" si="1"/>
        <v>4.7152184479809581E-3</v>
      </c>
      <c r="E13" s="138">
        <f t="shared" si="1"/>
        <v>4.822049096240533E-3</v>
      </c>
      <c r="F13" s="138">
        <f t="shared" si="1"/>
        <v>4.1274853169322185E-3</v>
      </c>
      <c r="G13" s="138">
        <f t="shared" si="1"/>
        <v>5.8383737098343432E-3</v>
      </c>
      <c r="H13" s="138">
        <f t="shared" si="1"/>
        <v>5.8632527156140162E-3</v>
      </c>
      <c r="I13" s="138">
        <f t="shared" si="1"/>
        <v>5.8935693896042859E-3</v>
      </c>
      <c r="J13" s="138">
        <f t="shared" si="1"/>
        <v>3.901609685994397E-3</v>
      </c>
      <c r="K13" s="139">
        <f t="shared" si="1"/>
        <v>4.3844332677397064E-3</v>
      </c>
      <c r="L13" s="135"/>
      <c r="M13" s="137">
        <f>AVERAGE(D51:INDEX(D51:K51,0,MATCH('RFPR cover'!$C$7,$D$6:$K$6,0)))/AVERAGE($D$65:INDEX($D$65:$K$65,0,MATCH('RFPR cover'!$C$7,$D$6:$K$6,0)))</f>
        <v>5.033219479656994E-3</v>
      </c>
      <c r="N13" s="139">
        <f t="shared" si="3"/>
        <v>4.9465190099391137E-3</v>
      </c>
      <c r="Q13" s="831"/>
      <c r="R13" s="426"/>
    </row>
    <row r="14" spans="1:18">
      <c r="B14" s="205" t="str">
        <f t="shared" si="2"/>
        <v>Interruptions-related quality of service</v>
      </c>
      <c r="C14" s="207" t="s">
        <v>7</v>
      </c>
      <c r="D14" s="137">
        <f t="shared" si="1"/>
        <v>8.7678477159680579E-3</v>
      </c>
      <c r="E14" s="138">
        <f t="shared" si="1"/>
        <v>3.7817110905578964E-3</v>
      </c>
      <c r="F14" s="138">
        <f t="shared" si="1"/>
        <v>6.5026399652349963E-3</v>
      </c>
      <c r="G14" s="138">
        <f t="shared" si="1"/>
        <v>2.5817696244427924E-3</v>
      </c>
      <c r="H14" s="138">
        <f t="shared" si="1"/>
        <v>3.0397404966834604E-3</v>
      </c>
      <c r="I14" s="138">
        <f t="shared" si="1"/>
        <v>1.8397683122914361E-3</v>
      </c>
      <c r="J14" s="138">
        <f t="shared" si="1"/>
        <v>3.3884892073010216E-3</v>
      </c>
      <c r="K14" s="139">
        <f t="shared" si="1"/>
        <v>2.5472379188030249E-3</v>
      </c>
      <c r="L14" s="135"/>
      <c r="M14" s="137">
        <f>AVERAGE(D52:INDEX(D52:K52,0,MATCH('RFPR cover'!$C$7,$D$6:$K$6,0)))/AVERAGE($D$65:INDEX($D$65:$K$65,0,MATCH('RFPR cover'!$C$7,$D$6:$K$6,0)))</f>
        <v>4.1793024884208231E-3</v>
      </c>
      <c r="N14" s="139">
        <f t="shared" si="3"/>
        <v>3.9612017301176956E-3</v>
      </c>
      <c r="Q14" s="831"/>
      <c r="R14" s="426"/>
    </row>
    <row r="15" spans="1:18">
      <c r="B15" s="205" t="str">
        <f t="shared" si="2"/>
        <v>Incentive on connections engagement</v>
      </c>
      <c r="C15" s="207" t="s">
        <v>7</v>
      </c>
      <c r="D15" s="137">
        <f t="shared" si="1"/>
        <v>0</v>
      </c>
      <c r="E15" s="138">
        <f t="shared" si="1"/>
        <v>0</v>
      </c>
      <c r="F15" s="138">
        <f t="shared" si="1"/>
        <v>0</v>
      </c>
      <c r="G15" s="138">
        <f t="shared" si="1"/>
        <v>0</v>
      </c>
      <c r="H15" s="138">
        <f t="shared" si="1"/>
        <v>0</v>
      </c>
      <c r="I15" s="138">
        <f t="shared" si="1"/>
        <v>0</v>
      </c>
      <c r="J15" s="138">
        <f t="shared" si="1"/>
        <v>0</v>
      </c>
      <c r="K15" s="139">
        <f t="shared" si="1"/>
        <v>0</v>
      </c>
      <c r="L15" s="135"/>
      <c r="M15" s="137">
        <f>AVERAGE(D53:INDEX(D53:K53,0,MATCH('RFPR cover'!$C$7,$D$6:$K$6,0)))/AVERAGE($D$65:INDEX($D$65:$K$65,0,MATCH('RFPR cover'!$C$7,$D$6:$K$6,0)))</f>
        <v>0</v>
      </c>
      <c r="N15" s="139">
        <f t="shared" si="3"/>
        <v>0</v>
      </c>
      <c r="Q15" s="831"/>
      <c r="R15" s="426"/>
    </row>
    <row r="16" spans="1:18">
      <c r="B16" s="205" t="str">
        <f t="shared" si="2"/>
        <v>Time to Connect Incentive</v>
      </c>
      <c r="C16" s="207" t="s">
        <v>7</v>
      </c>
      <c r="D16" s="137">
        <f t="shared" si="1"/>
        <v>1.5337567307083624E-3</v>
      </c>
      <c r="E16" s="138">
        <f t="shared" si="1"/>
        <v>8.8324814701857017E-4</v>
      </c>
      <c r="F16" s="138">
        <f t="shared" si="1"/>
        <v>8.5454297925119035E-4</v>
      </c>
      <c r="G16" s="138">
        <f t="shared" si="1"/>
        <v>8.2627752540688016E-4</v>
      </c>
      <c r="H16" s="138">
        <f t="shared" si="1"/>
        <v>1.3881150051960162E-4</v>
      </c>
      <c r="I16" s="138">
        <f t="shared" si="1"/>
        <v>1.2070348322879979E-4</v>
      </c>
      <c r="J16" s="138">
        <f t="shared" si="1"/>
        <v>3.6494032524214166E-4</v>
      </c>
      <c r="K16" s="139">
        <f t="shared" si="1"/>
        <v>5.1581567855761264E-4</v>
      </c>
      <c r="L16" s="135"/>
      <c r="M16" s="137">
        <f>AVERAGE(D54:INDEX(D54:K54,0,MATCH('RFPR cover'!$C$7,$D$6:$K$6,0)))/AVERAGE($D$65:INDEX($D$65:$K$65,0,MATCH('RFPR cover'!$C$7,$D$6:$K$6,0)))</f>
        <v>6.5264353395706948E-4</v>
      </c>
      <c r="N16" s="139">
        <f t="shared" si="3"/>
        <v>6.3435855946822263E-4</v>
      </c>
      <c r="Q16" s="831"/>
      <c r="R16" s="426"/>
    </row>
    <row r="17" spans="2:18">
      <c r="B17" s="205" t="str">
        <f t="shared" si="2"/>
        <v>Losses discretionary reward scheme</v>
      </c>
      <c r="C17" s="207" t="s">
        <v>7</v>
      </c>
      <c r="D17" s="137">
        <f t="shared" si="1"/>
        <v>0</v>
      </c>
      <c r="E17" s="138">
        <f t="shared" si="1"/>
        <v>5.6675089433691592E-4</v>
      </c>
      <c r="F17" s="138">
        <f t="shared" si="1"/>
        <v>0</v>
      </c>
      <c r="G17" s="138">
        <f t="shared" si="1"/>
        <v>0</v>
      </c>
      <c r="H17" s="138">
        <f t="shared" si="1"/>
        <v>0</v>
      </c>
      <c r="I17" s="138">
        <f t="shared" si="1"/>
        <v>0</v>
      </c>
      <c r="J17" s="138">
        <f t="shared" si="1"/>
        <v>0</v>
      </c>
      <c r="K17" s="139">
        <f t="shared" si="1"/>
        <v>0</v>
      </c>
      <c r="L17" s="135"/>
      <c r="M17" s="137">
        <f>AVERAGE(D55:INDEX(D55:K55,0,MATCH('RFPR cover'!$C$7,$D$6:$K$6,0)))/AVERAGE($D$65:INDEX($D$65:$K$65,0,MATCH('RFPR cover'!$C$7,$D$6:$K$6,0)))</f>
        <v>7.657978770224169E-5</v>
      </c>
      <c r="N17" s="139">
        <f t="shared" si="3"/>
        <v>6.6346056709317355E-5</v>
      </c>
      <c r="Q17" s="831"/>
      <c r="R17" s="426"/>
    </row>
    <row r="18" spans="2:18">
      <c r="B18" s="205" t="str">
        <f t="shared" si="2"/>
        <v xml:space="preserve">Network Innovation </v>
      </c>
      <c r="C18" s="207" t="s">
        <v>7</v>
      </c>
      <c r="D18" s="137">
        <f t="shared" si="1"/>
        <v>-2.8990738138744807E-3</v>
      </c>
      <c r="E18" s="138">
        <f t="shared" si="1"/>
        <v>-2.5296981969954129E-4</v>
      </c>
      <c r="F18" s="138">
        <f t="shared" si="1"/>
        <v>-1.5015227701114134E-3</v>
      </c>
      <c r="G18" s="138">
        <f t="shared" si="1"/>
        <v>-1.3547669104378873E-3</v>
      </c>
      <c r="H18" s="138">
        <f t="shared" si="1"/>
        <v>-2.4917078940032403E-4</v>
      </c>
      <c r="I18" s="138">
        <f t="shared" si="1"/>
        <v>-2.7196566649766363E-4</v>
      </c>
      <c r="J18" s="138">
        <f t="shared" si="1"/>
        <v>-2.6994494927992083E-4</v>
      </c>
      <c r="K18" s="139">
        <f t="shared" si="1"/>
        <v>-1.7477568920795474E-4</v>
      </c>
      <c r="L18" s="135"/>
      <c r="M18" s="137">
        <f>AVERAGE(D56:INDEX(D56:K56,0,MATCH('RFPR cover'!$C$7,$D$6:$K$6,0)))/AVERAGE($D$65:INDEX($D$65:$K$65,0,MATCH('RFPR cover'!$C$7,$D$6:$K$6,0)))</f>
        <v>-9.3730316212081483E-4</v>
      </c>
      <c r="N18" s="139">
        <f t="shared" si="3"/>
        <v>-8.3540289226310429E-4</v>
      </c>
      <c r="Q18" s="831"/>
      <c r="R18" s="426"/>
    </row>
    <row r="19" spans="2:18">
      <c r="B19" s="205" t="str">
        <f>B57</f>
        <v>Penalties and fines</v>
      </c>
      <c r="C19" s="207" t="s">
        <v>7</v>
      </c>
      <c r="D19" s="147">
        <f t="shared" si="1"/>
        <v>-1.194501839361058E-5</v>
      </c>
      <c r="E19" s="148">
        <f t="shared" si="1"/>
        <v>-4.2271602070766939E-6</v>
      </c>
      <c r="F19" s="148">
        <f t="shared" si="1"/>
        <v>-1.9045806138238263E-5</v>
      </c>
      <c r="G19" s="148">
        <f t="shared" si="1"/>
        <v>-3.6863544341194843E-5</v>
      </c>
      <c r="H19" s="148">
        <f t="shared" si="1"/>
        <v>-5.563523592728186E-5</v>
      </c>
      <c r="I19" s="148">
        <f t="shared" si="1"/>
        <v>-9.0386740080468099E-5</v>
      </c>
      <c r="J19" s="148">
        <f t="shared" si="1"/>
        <v>-5.6642880413203332E-4</v>
      </c>
      <c r="K19" s="149">
        <f t="shared" si="1"/>
        <v>0</v>
      </c>
      <c r="L19" s="135"/>
      <c r="M19" s="147">
        <f>AVERAGE(D57:INDEX(D57:K57,0,MATCH('RFPR cover'!$C$7,$D$6:$K$6,0)))/AVERAGE($D$65:INDEX($D$65:$K$65,0,MATCH('RFPR cover'!$C$7,$D$6:$K$6,0)))</f>
        <v>-1.179096961427452E-4</v>
      </c>
      <c r="N19" s="149">
        <f t="shared" si="3"/>
        <v>-1.0215284765846842E-4</v>
      </c>
      <c r="Q19" s="831"/>
      <c r="R19" s="426"/>
    </row>
    <row r="20" spans="2:18">
      <c r="B20" s="206" t="str">
        <f>B58</f>
        <v>RoRE - Operational performance</v>
      </c>
      <c r="C20" s="207" t="s">
        <v>7</v>
      </c>
      <c r="D20" s="150">
        <f t="shared" ref="D20:K20" si="4">SUM(D10:D19)</f>
        <v>6.929955181964087E-2</v>
      </c>
      <c r="E20" s="151">
        <f t="shared" si="4"/>
        <v>6.647821599041992E-2</v>
      </c>
      <c r="F20" s="151">
        <f t="shared" si="4"/>
        <v>6.7143999332591658E-2</v>
      </c>
      <c r="G20" s="151">
        <f t="shared" si="4"/>
        <v>6.5821078542848702E-2</v>
      </c>
      <c r="H20" s="151">
        <f t="shared" si="4"/>
        <v>4.4477846051435732E-2</v>
      </c>
      <c r="I20" s="151">
        <f t="shared" si="4"/>
        <v>4.3529229488293526E-2</v>
      </c>
      <c r="J20" s="151">
        <f t="shared" si="4"/>
        <v>5.3748883773132902E-2</v>
      </c>
      <c r="K20" s="152">
        <f t="shared" si="4"/>
        <v>3.3035313740098778E-2</v>
      </c>
      <c r="L20" s="136"/>
      <c r="M20" s="150">
        <f>SUM(M10:M19)</f>
        <v>5.8209169386890365E-2</v>
      </c>
      <c r="N20" s="152">
        <f>SUM(N10:N19)</f>
        <v>5.4845064125255742E-2</v>
      </c>
      <c r="Q20" s="831"/>
      <c r="R20" s="426"/>
    </row>
    <row r="21" spans="2:18">
      <c r="B21" s="205" t="str">
        <f>B59</f>
        <v>Debt performance - at notional gearing</v>
      </c>
      <c r="C21" s="207" t="s">
        <v>7</v>
      </c>
      <c r="D21" s="137">
        <f>(D59)/D$65</f>
        <v>-6.0853660618428078E-3</v>
      </c>
      <c r="E21" s="138">
        <f t="shared" ref="E21:K21" si="5">(E59)/E$65</f>
        <v>9.3424873012306411E-3</v>
      </c>
      <c r="F21" s="138">
        <f t="shared" si="5"/>
        <v>3.634044669398686E-2</v>
      </c>
      <c r="G21" s="138">
        <f t="shared" si="5"/>
        <v>2.8196100309135615E-2</v>
      </c>
      <c r="H21" s="138">
        <f t="shared" si="5"/>
        <v>2.0403879427369806E-2</v>
      </c>
      <c r="I21" s="138">
        <f t="shared" si="5"/>
        <v>3.0704257277126353E-3</v>
      </c>
      <c r="J21" s="138">
        <f t="shared" si="5"/>
        <v>7.5274160597337325E-2</v>
      </c>
      <c r="K21" s="139">
        <f t="shared" si="5"/>
        <v>0.10187921096557173</v>
      </c>
      <c r="L21" s="135"/>
      <c r="M21" s="137">
        <f>AVERAGE(D59:INDEX(D59:K59,0,MATCH('RFPR cover'!$C$7,$D$6:$K$6,0)))/AVERAGE($D$65:INDEX($D$65:$K$65,0,MATCH('RFPR cover'!$C$7,$D$6:$K$6,0)))</f>
        <v>2.4526399058993974E-2</v>
      </c>
      <c r="N21" s="139">
        <f>AVERAGE(D59:K59)/AVERAGE($D$65:$K$65)</f>
        <v>3.4863433051254819E-2</v>
      </c>
      <c r="Q21" s="831"/>
      <c r="R21" s="426"/>
    </row>
    <row r="22" spans="2:18">
      <c r="B22" s="205" t="str">
        <f>B61</f>
        <v>Tax performance - at notional gearing</v>
      </c>
      <c r="C22" s="207" t="s">
        <v>7</v>
      </c>
      <c r="D22" s="137">
        <f>(D61)/D$65</f>
        <v>-5.5960552337590503E-3</v>
      </c>
      <c r="E22" s="138">
        <f t="shared" ref="E22:K22" si="6">(E61)/E$65</f>
        <v>-4.0145867041363895E-3</v>
      </c>
      <c r="F22" s="138">
        <f t="shared" si="6"/>
        <v>3.2338560161216186E-3</v>
      </c>
      <c r="G22" s="138">
        <f t="shared" si="6"/>
        <v>4.0607849141851898E-3</v>
      </c>
      <c r="H22" s="138">
        <f t="shared" si="6"/>
        <v>2.180939173142972E-3</v>
      </c>
      <c r="I22" s="138">
        <f t="shared" si="6"/>
        <v>-2.3576259515894872E-3</v>
      </c>
      <c r="J22" s="138">
        <f t="shared" si="6"/>
        <v>1.1971119609543125E-2</v>
      </c>
      <c r="K22" s="139">
        <f t="shared" si="6"/>
        <v>2.4491905619427923E-2</v>
      </c>
      <c r="L22" s="135"/>
      <c r="M22" s="137">
        <f>AVERAGE(D61:INDEX(D61:K61,0,MATCH('RFPR cover'!$C$7,$D$6:$K$6,0)))/AVERAGE($D$65:INDEX($D$65:$K$65,0,MATCH('RFPR cover'!$C$7,$D$6:$K$6,0)))</f>
        <v>1.5509089763860937E-3</v>
      </c>
      <c r="N22" s="139">
        <f>AVERAGE(D61:K61)/AVERAGE($D$65:$K$65)</f>
        <v>4.6166263856235431E-3</v>
      </c>
      <c r="Q22" s="831"/>
      <c r="R22" s="426"/>
    </row>
    <row r="23" spans="2:18">
      <c r="B23" s="206" t="str">
        <f>B63</f>
        <v>RoRE - including financing and tax</v>
      </c>
      <c r="C23" s="207" t="s">
        <v>7</v>
      </c>
      <c r="D23" s="153">
        <f>SUM(D20:D22)</f>
        <v>5.7618130524039017E-2</v>
      </c>
      <c r="E23" s="154">
        <f t="shared" ref="E23:K23" si="7">SUM(E20:E22)</f>
        <v>7.1806116587514165E-2</v>
      </c>
      <c r="F23" s="154">
        <f t="shared" si="7"/>
        <v>0.10671830204270015</v>
      </c>
      <c r="G23" s="154">
        <f t="shared" si="7"/>
        <v>9.8077963766169507E-2</v>
      </c>
      <c r="H23" s="154">
        <f t="shared" si="7"/>
        <v>6.7062664651948517E-2</v>
      </c>
      <c r="I23" s="154">
        <f t="shared" si="7"/>
        <v>4.4242029264416671E-2</v>
      </c>
      <c r="J23" s="154">
        <f t="shared" si="7"/>
        <v>0.14099416398001335</v>
      </c>
      <c r="K23" s="155">
        <f t="shared" si="7"/>
        <v>0.15940643032509844</v>
      </c>
      <c r="L23" s="136"/>
      <c r="M23" s="153">
        <f>SUM(M20:M22)</f>
        <v>8.4286477422270439E-2</v>
      </c>
      <c r="N23" s="155">
        <f>SUM(N20:N22)</f>
        <v>9.43251235621341E-2</v>
      </c>
      <c r="Q23" s="831"/>
      <c r="R23" s="426"/>
    </row>
    <row r="24" spans="2:18">
      <c r="D24" s="426"/>
      <c r="E24" s="426"/>
      <c r="F24" s="426"/>
      <c r="G24" s="426"/>
      <c r="H24" s="426"/>
      <c r="I24" s="426"/>
      <c r="J24" s="426"/>
      <c r="K24" s="426"/>
      <c r="Q24" s="831"/>
      <c r="R24" s="426"/>
    </row>
    <row r="25" spans="2:18">
      <c r="Q25" s="831"/>
    </row>
    <row r="26" spans="2:18" s="27" customFormat="1">
      <c r="B26" s="393"/>
      <c r="C26" s="298"/>
      <c r="Q26" s="832"/>
      <c r="R26"/>
    </row>
    <row r="27" spans="2:18">
      <c r="B27" s="436" t="s">
        <v>212</v>
      </c>
      <c r="C27" s="349"/>
      <c r="D27" s="178"/>
      <c r="E27" s="178"/>
      <c r="F27" s="178"/>
      <c r="G27" s="178"/>
      <c r="H27" s="178"/>
      <c r="I27" s="178"/>
      <c r="J27" s="178"/>
      <c r="K27" s="178"/>
      <c r="L27" s="437"/>
      <c r="M27" s="178"/>
      <c r="N27" s="178"/>
      <c r="O27" s="178"/>
      <c r="Q27" s="831"/>
    </row>
    <row r="28" spans="2:18">
      <c r="B28" s="159"/>
      <c r="L28" s="40"/>
      <c r="Q28" s="831"/>
    </row>
    <row r="29" spans="2:18">
      <c r="B29" s="205" t="s">
        <v>211</v>
      </c>
      <c r="C29" s="207" t="s">
        <v>7</v>
      </c>
      <c r="D29" s="417">
        <f t="shared" ref="D29:K38" si="8">D48/D$66</f>
        <v>5.6780416631428153E-2</v>
      </c>
      <c r="E29" s="419">
        <f t="shared" si="8"/>
        <v>5.3563418156915628E-2</v>
      </c>
      <c r="F29" s="419">
        <f t="shared" si="8"/>
        <v>5.2973978183006795E-2</v>
      </c>
      <c r="G29" s="419">
        <f t="shared" si="8"/>
        <v>5.6210889875705834E-2</v>
      </c>
      <c r="H29" s="419">
        <f t="shared" si="8"/>
        <v>5.8642166263443159E-2</v>
      </c>
      <c r="I29" s="419">
        <f t="shared" si="8"/>
        <v>5.9910465439803127E-2</v>
      </c>
      <c r="J29" s="419">
        <f t="shared" si="8"/>
        <v>5.6164670702557068E-2</v>
      </c>
      <c r="K29" s="418">
        <f t="shared" si="8"/>
        <v>5.5350620720192693E-2</v>
      </c>
      <c r="L29" s="135"/>
      <c r="M29" s="417">
        <f>AVERAGE(D48:INDEX(D48:K48,0,MATCH('RFPR cover'!$C$7,$D$6:$K$6,0)))/AVERAGE($D$66:INDEX($D$66:$K$66,0,MATCH('RFPR cover'!$C$7,$D$6:$K$6,0)))</f>
        <v>5.6288741322771035E-2</v>
      </c>
      <c r="N29" s="418">
        <f>AVERAGE(D48:K48)/AVERAGE($D$66:$K$66)</f>
        <v>5.6161539007152497E-2</v>
      </c>
      <c r="P29" s="426"/>
      <c r="Q29" s="831"/>
      <c r="R29" s="426"/>
    </row>
    <row r="30" spans="2:18">
      <c r="B30" s="205" t="str">
        <f t="shared" ref="B30:B37" si="9">B49</f>
        <v>Totex outperformance</v>
      </c>
      <c r="C30" s="207" t="s">
        <v>7</v>
      </c>
      <c r="D30" s="137">
        <f t="shared" si="8"/>
        <v>1.1333736308543718E-3</v>
      </c>
      <c r="E30" s="138">
        <f t="shared" si="8"/>
        <v>5.9718226811513852E-4</v>
      </c>
      <c r="F30" s="138">
        <f t="shared" si="8"/>
        <v>5.9463753255091642E-4</v>
      </c>
      <c r="G30" s="138">
        <f t="shared" si="8"/>
        <v>9.677265315595412E-4</v>
      </c>
      <c r="H30" s="138">
        <f t="shared" si="8"/>
        <v>-2.0832971644908709E-2</v>
      </c>
      <c r="I30" s="138">
        <f t="shared" si="8"/>
        <v>-2.1000785727756283E-2</v>
      </c>
      <c r="J30" s="138">
        <f t="shared" si="8"/>
        <v>-9.7442983772143069E-3</v>
      </c>
      <c r="K30" s="139">
        <f t="shared" si="8"/>
        <v>-2.942926685259219E-2</v>
      </c>
      <c r="L30" s="135"/>
      <c r="M30" s="137">
        <f>AVERAGE(D49:INDEX(D49:K49,0,MATCH('RFPR cover'!$C$7,$D$6:$K$6,0)))/AVERAGE($D$66:INDEX($D$66:$K$66,0,MATCH('RFPR cover'!$C$7,$D$6:$K$6,0)))</f>
        <v>-6.9465301597542778E-3</v>
      </c>
      <c r="N30" s="139">
        <f t="shared" ref="N30:N38" si="10">AVERAGE(D49:K49)/AVERAGE($D$66:$K$66)</f>
        <v>-9.9950253755197328E-3</v>
      </c>
      <c r="P30" s="426"/>
      <c r="Q30" s="831"/>
      <c r="R30" s="426"/>
    </row>
    <row r="31" spans="2:18">
      <c r="B31" s="205" t="str">
        <f t="shared" si="9"/>
        <v>IQI Reward</v>
      </c>
      <c r="C31" s="207" t="s">
        <v>7</v>
      </c>
      <c r="D31" s="137">
        <f t="shared" si="8"/>
        <v>-3.7890431561232955E-3</v>
      </c>
      <c r="E31" s="138">
        <f t="shared" si="8"/>
        <v>-3.5595484047392005E-3</v>
      </c>
      <c r="F31" s="138">
        <f t="shared" si="8"/>
        <v>-3.0845031084060625E-3</v>
      </c>
      <c r="G31" s="138">
        <f t="shared" si="8"/>
        <v>-2.8730057568421884E-3</v>
      </c>
      <c r="H31" s="138">
        <f t="shared" si="8"/>
        <v>-2.877182726653106E-3</v>
      </c>
      <c r="I31" s="138">
        <f t="shared" si="8"/>
        <v>-2.9259157582667734E-3</v>
      </c>
      <c r="J31" s="138">
        <f t="shared" si="8"/>
        <v>-2.490034704203687E-3</v>
      </c>
      <c r="K31" s="139">
        <f t="shared" si="8"/>
        <v>-2.1550864793263087E-3</v>
      </c>
      <c r="L31" s="135"/>
      <c r="M31" s="137">
        <f>AVERAGE(D50:INDEX(D50:K50,0,MATCH('RFPR cover'!$C$7,$D$6:$K$6,0)))/AVERAGE($D$66:INDEX($D$66:$K$66,0,MATCH('RFPR cover'!$C$7,$D$6:$K$6,0)))</f>
        <v>-3.0703919473433622E-3</v>
      </c>
      <c r="N31" s="139">
        <f t="shared" si="10"/>
        <v>-2.946283197668648E-3</v>
      </c>
      <c r="P31" s="426"/>
      <c r="Q31" s="831"/>
      <c r="R31" s="426"/>
    </row>
    <row r="32" spans="2:18">
      <c r="B32" s="205" t="str">
        <f t="shared" si="9"/>
        <v>Broad measure of customer service</v>
      </c>
      <c r="C32" s="207" t="s">
        <v>7</v>
      </c>
      <c r="D32" s="137">
        <f t="shared" si="8"/>
        <v>4.4622011330759138E-3</v>
      </c>
      <c r="E32" s="138">
        <f t="shared" si="8"/>
        <v>4.3047572019184795E-3</v>
      </c>
      <c r="F32" s="138">
        <f t="shared" si="8"/>
        <v>3.6441552854974712E-3</v>
      </c>
      <c r="G32" s="138">
        <f t="shared" si="8"/>
        <v>5.4696696942785738E-3</v>
      </c>
      <c r="H32" s="138">
        <f t="shared" si="8"/>
        <v>5.7305640098936966E-3</v>
      </c>
      <c r="I32" s="138">
        <f t="shared" si="8"/>
        <v>5.8847747538828205E-3</v>
      </c>
      <c r="J32" s="138">
        <f t="shared" si="8"/>
        <v>3.6522103870630404E-3</v>
      </c>
      <c r="K32" s="139">
        <f t="shared" si="8"/>
        <v>4.0446850479275926E-3</v>
      </c>
      <c r="L32" s="135"/>
      <c r="M32" s="137">
        <f>AVERAGE(D51:INDEX(D51:K51,0,MATCH('RFPR cover'!$C$7,$D$6:$K$6,0)))/AVERAGE($D$66:INDEX($D$66:$K$66,0,MATCH('RFPR cover'!$C$7,$D$6:$K$6,0)))</f>
        <v>4.7218931551857466E-3</v>
      </c>
      <c r="N32" s="139">
        <f t="shared" si="10"/>
        <v>4.6300686721052814E-3</v>
      </c>
      <c r="P32" s="426"/>
      <c r="Q32" s="831"/>
      <c r="R32" s="426"/>
    </row>
    <row r="33" spans="2:18">
      <c r="B33" s="205" t="str">
        <f t="shared" si="9"/>
        <v>Interruptions-related quality of service</v>
      </c>
      <c r="C33" s="207" t="s">
        <v>7</v>
      </c>
      <c r="D33" s="137">
        <f t="shared" si="8"/>
        <v>8.2973674378930325E-3</v>
      </c>
      <c r="E33" s="138">
        <f t="shared" si="8"/>
        <v>3.3760228748699675E-3</v>
      </c>
      <c r="F33" s="138">
        <f t="shared" si="8"/>
        <v>5.7411784608384468E-3</v>
      </c>
      <c r="G33" s="138">
        <f t="shared" si="8"/>
        <v>2.4187261340666041E-3</v>
      </c>
      <c r="H33" s="138">
        <f t="shared" si="8"/>
        <v>2.9709494600705464E-3</v>
      </c>
      <c r="I33" s="138">
        <f t="shared" si="8"/>
        <v>1.8370229315130171E-3</v>
      </c>
      <c r="J33" s="138">
        <f t="shared" si="8"/>
        <v>3.1718896751205088E-3</v>
      </c>
      <c r="K33" s="139">
        <f t="shared" si="8"/>
        <v>2.3498533321293204E-3</v>
      </c>
      <c r="L33" s="135"/>
      <c r="M33" s="137">
        <f>AVERAGE(D52:INDEX(D52:K52,0,MATCH('RFPR cover'!$C$7,$D$6:$K$6,0)))/AVERAGE($D$66:INDEX($D$66:$K$66,0,MATCH('RFPR cover'!$C$7,$D$6:$K$6,0)))</f>
        <v>3.9207946113388832E-3</v>
      </c>
      <c r="N33" s="139">
        <f t="shared" si="10"/>
        <v>3.7077864246867491E-3</v>
      </c>
      <c r="P33" s="426"/>
      <c r="Q33" s="831"/>
      <c r="R33" s="426"/>
    </row>
    <row r="34" spans="2:18">
      <c r="B34" s="205" t="str">
        <f t="shared" si="9"/>
        <v>Incentive on connections engagement</v>
      </c>
      <c r="C34" s="207" t="s">
        <v>7</v>
      </c>
      <c r="D34" s="137">
        <f t="shared" si="8"/>
        <v>0</v>
      </c>
      <c r="E34" s="138">
        <f t="shared" si="8"/>
        <v>0</v>
      </c>
      <c r="F34" s="138">
        <f t="shared" si="8"/>
        <v>0</v>
      </c>
      <c r="G34" s="138">
        <f t="shared" si="8"/>
        <v>0</v>
      </c>
      <c r="H34" s="138">
        <f t="shared" si="8"/>
        <v>0</v>
      </c>
      <c r="I34" s="138">
        <f t="shared" si="8"/>
        <v>0</v>
      </c>
      <c r="J34" s="138">
        <f t="shared" si="8"/>
        <v>0</v>
      </c>
      <c r="K34" s="139">
        <f t="shared" si="8"/>
        <v>0</v>
      </c>
      <c r="L34" s="135"/>
      <c r="M34" s="137">
        <f>AVERAGE(D53:INDEX(D53:K53,0,MATCH('RFPR cover'!$C$7,$D$6:$K$6,0)))/AVERAGE($D$66:INDEX($D$66:$K$66,0,MATCH('RFPR cover'!$C$7,$D$6:$K$6,0)))</f>
        <v>0</v>
      </c>
      <c r="N34" s="139">
        <f t="shared" si="10"/>
        <v>0</v>
      </c>
      <c r="P34" s="426"/>
      <c r="Q34" s="831"/>
      <c r="R34" s="426"/>
    </row>
    <row r="35" spans="2:18">
      <c r="B35" s="205" t="str">
        <f t="shared" si="9"/>
        <v>Time to Connect Incentive</v>
      </c>
      <c r="C35" s="207" t="s">
        <v>7</v>
      </c>
      <c r="D35" s="137">
        <f t="shared" si="8"/>
        <v>1.4514557696812993E-3</v>
      </c>
      <c r="E35" s="138">
        <f t="shared" si="8"/>
        <v>7.8849649725127604E-4</v>
      </c>
      <c r="F35" s="138">
        <f t="shared" si="8"/>
        <v>7.544756856549033E-4</v>
      </c>
      <c r="G35" s="138">
        <f t="shared" si="8"/>
        <v>7.7409658312361466E-4</v>
      </c>
      <c r="H35" s="138">
        <f t="shared" si="8"/>
        <v>1.3567011821247508E-4</v>
      </c>
      <c r="I35" s="138">
        <f t="shared" si="8"/>
        <v>1.2052336434071446E-4</v>
      </c>
      <c r="J35" s="138">
        <f t="shared" si="8"/>
        <v>3.4161255322181605E-4</v>
      </c>
      <c r="K35" s="139">
        <f t="shared" si="8"/>
        <v>4.758452997561875E-4</v>
      </c>
      <c r="L35" s="135"/>
      <c r="M35" s="137">
        <f>AVERAGE(D54:INDEX(D54:K54,0,MATCH('RFPR cover'!$C$7,$D$6:$K$6,0)))/AVERAGE($D$66:INDEX($D$66:$K$66,0,MATCH('RFPR cover'!$C$7,$D$6:$K$6,0)))</f>
        <v>6.122747176481436E-4</v>
      </c>
      <c r="N35" s="139">
        <f t="shared" si="10"/>
        <v>5.9377588303492757E-4</v>
      </c>
      <c r="P35" s="426"/>
      <c r="Q35" s="831"/>
      <c r="R35" s="426"/>
    </row>
    <row r="36" spans="2:18">
      <c r="B36" s="205" t="str">
        <f t="shared" si="9"/>
        <v>Losses discretionary reward scheme</v>
      </c>
      <c r="C36" s="207" t="s">
        <v>7</v>
      </c>
      <c r="D36" s="137">
        <f t="shared" si="8"/>
        <v>0</v>
      </c>
      <c r="E36" s="138">
        <f t="shared" si="8"/>
        <v>5.0595191906956886E-4</v>
      </c>
      <c r="F36" s="138">
        <f t="shared" si="8"/>
        <v>0</v>
      </c>
      <c r="G36" s="138">
        <f t="shared" si="8"/>
        <v>0</v>
      </c>
      <c r="H36" s="138">
        <f t="shared" si="8"/>
        <v>0</v>
      </c>
      <c r="I36" s="138">
        <f t="shared" si="8"/>
        <v>0</v>
      </c>
      <c r="J36" s="138">
        <f t="shared" si="8"/>
        <v>0</v>
      </c>
      <c r="K36" s="139">
        <f t="shared" si="8"/>
        <v>0</v>
      </c>
      <c r="L36" s="135"/>
      <c r="M36" s="137">
        <f>AVERAGE(D55:INDEX(D55:K55,0,MATCH('RFPR cover'!$C$7,$D$6:$K$6,0)))/AVERAGE($D$66:INDEX($D$66:$K$66,0,MATCH('RFPR cover'!$C$7,$D$6:$K$6,0)))</f>
        <v>7.1842997675403413E-5</v>
      </c>
      <c r="N36" s="139">
        <f t="shared" si="10"/>
        <v>6.2101610864184642E-5</v>
      </c>
      <c r="P36" s="426"/>
      <c r="Q36" s="831"/>
      <c r="R36" s="426"/>
    </row>
    <row r="37" spans="2:18">
      <c r="B37" s="205" t="str">
        <f t="shared" si="9"/>
        <v xml:space="preserve">Network Innovation </v>
      </c>
      <c r="C37" s="207" t="s">
        <v>7</v>
      </c>
      <c r="D37" s="137">
        <f t="shared" si="8"/>
        <v>-2.7435103166176065E-3</v>
      </c>
      <c r="E37" s="138">
        <f t="shared" si="8"/>
        <v>-2.2583213722743474E-4</v>
      </c>
      <c r="F37" s="138">
        <f t="shared" si="8"/>
        <v>-1.3256939077528327E-3</v>
      </c>
      <c r="G37" s="138">
        <f t="shared" si="8"/>
        <v>-1.2692108934979054E-3</v>
      </c>
      <c r="H37" s="138">
        <f t="shared" si="8"/>
        <v>-2.4353191433345306E-4</v>
      </c>
      <c r="I37" s="138">
        <f t="shared" si="8"/>
        <v>-2.7155982772535505E-4</v>
      </c>
      <c r="J37" s="138">
        <f t="shared" si="8"/>
        <v>-2.5268948640208707E-4</v>
      </c>
      <c r="K37" s="139">
        <f t="shared" si="8"/>
        <v>-1.6123238140766297E-4</v>
      </c>
      <c r="L37" s="135"/>
      <c r="M37" s="137">
        <f>AVERAGE(D56:INDEX(D56:K56,0,MATCH('RFPR cover'!$C$7,$D$6:$K$6,0)))/AVERAGE($D$66:INDEX($D$66:$K$66,0,MATCH('RFPR cover'!$C$7,$D$6:$K$6,0)))</f>
        <v>-8.7932692056056445E-4</v>
      </c>
      <c r="N37" s="139">
        <f t="shared" si="10"/>
        <v>-7.8195853534203906E-4</v>
      </c>
      <c r="P37" s="426"/>
      <c r="Q37" s="831"/>
      <c r="R37" s="426"/>
    </row>
    <row r="38" spans="2:18">
      <c r="B38" s="205" t="str">
        <f>B57</f>
        <v>Penalties and fines</v>
      </c>
      <c r="C38" s="207" t="s">
        <v>7</v>
      </c>
      <c r="D38" s="147">
        <f t="shared" si="8"/>
        <v>-1.1304052017654689E-5</v>
      </c>
      <c r="E38" s="148">
        <f t="shared" si="8"/>
        <v>-3.773685829798717E-6</v>
      </c>
      <c r="F38" s="148">
        <f t="shared" si="8"/>
        <v>-1.681553531408018E-5</v>
      </c>
      <c r="G38" s="148">
        <f t="shared" si="8"/>
        <v>-3.4535543856518381E-5</v>
      </c>
      <c r="H38" s="148">
        <f t="shared" si="8"/>
        <v>-5.4376179255892494E-5</v>
      </c>
      <c r="I38" s="148">
        <f t="shared" si="8"/>
        <v>-9.0251861130122545E-5</v>
      </c>
      <c r="J38" s="148">
        <f t="shared" si="8"/>
        <v>-5.302214543419808E-4</v>
      </c>
      <c r="K38" s="149">
        <f t="shared" si="8"/>
        <v>0</v>
      </c>
      <c r="L38" s="135"/>
      <c r="M38" s="147">
        <f>AVERAGE(D57:INDEX(D57:K57,0,MATCH('RFPR cover'!$C$7,$D$6:$K$6,0)))/AVERAGE($D$66:INDEX($D$66:$K$66,0,MATCH('RFPR cover'!$C$7,$D$6:$K$6,0)))</f>
        <v>-1.1061647309375864E-4</v>
      </c>
      <c r="N38" s="149">
        <f t="shared" si="10"/>
        <v>-9.5617685641046356E-5</v>
      </c>
      <c r="P38" s="426"/>
      <c r="Q38" s="831"/>
      <c r="R38" s="426"/>
    </row>
    <row r="39" spans="2:18">
      <c r="B39" s="206" t="str">
        <f>B58</f>
        <v>RoRE - Operational performance</v>
      </c>
      <c r="C39" s="207" t="s">
        <v>7</v>
      </c>
      <c r="D39" s="150">
        <f t="shared" ref="D39:K39" si="11">SUM(D29:D38)</f>
        <v>6.5580957078174199E-2</v>
      </c>
      <c r="E39" s="151">
        <f t="shared" si="11"/>
        <v>5.9346674690343618E-2</v>
      </c>
      <c r="F39" s="151">
        <f t="shared" si="11"/>
        <v>5.9281412596075556E-2</v>
      </c>
      <c r="G39" s="151">
        <f t="shared" si="11"/>
        <v>6.166435662453755E-2</v>
      </c>
      <c r="H39" s="151">
        <f t="shared" si="11"/>
        <v>4.3471287386468715E-2</v>
      </c>
      <c r="I39" s="151">
        <f t="shared" si="11"/>
        <v>4.3464273314661142E-2</v>
      </c>
      <c r="J39" s="151">
        <f t="shared" si="11"/>
        <v>5.031313929580037E-2</v>
      </c>
      <c r="K39" s="152">
        <f t="shared" si="11"/>
        <v>3.047541868667963E-2</v>
      </c>
      <c r="L39" s="136"/>
      <c r="M39" s="150">
        <f>SUM(M29:M38)</f>
        <v>5.4608681303867243E-2</v>
      </c>
      <c r="N39" s="152">
        <f>SUM(N29:N38)</f>
        <v>5.1336386803672182E-2</v>
      </c>
      <c r="P39" s="426"/>
      <c r="Q39" s="831"/>
      <c r="R39" s="426"/>
    </row>
    <row r="40" spans="2:18">
      <c r="B40" s="205" t="s">
        <v>451</v>
      </c>
      <c r="C40" s="207" t="s">
        <v>7</v>
      </c>
      <c r="D40" s="137">
        <f>(D59+D60)/D$66</f>
        <v>-4.5293896259038062E-3</v>
      </c>
      <c r="E40" s="138">
        <f t="shared" ref="E40:K40" si="12">(E59+E60)/E$66</f>
        <v>9.8515074924385663E-3</v>
      </c>
      <c r="F40" s="138">
        <f t="shared" si="12"/>
        <v>3.1938833783359294E-2</v>
      </c>
      <c r="G40" s="138">
        <f t="shared" si="12"/>
        <v>2.6512559788209194E-2</v>
      </c>
      <c r="H40" s="138">
        <f t="shared" si="12"/>
        <v>2.0049109522894022E-2</v>
      </c>
      <c r="I40" s="138">
        <f t="shared" si="12"/>
        <v>3.0848919282420962E-3</v>
      </c>
      <c r="J40" s="138">
        <f t="shared" si="12"/>
        <v>6.8710352410088313E-2</v>
      </c>
      <c r="K40" s="139">
        <f t="shared" si="12"/>
        <v>9.06563650911765E-2</v>
      </c>
      <c r="L40" s="135"/>
      <c r="M40" s="137">
        <f>(AVERAGE(D59:INDEX(D59:K59,0,MATCH('RFPR cover'!$C$7,$D$6:$K$6,0)))+AVERAGE(D60:INDEX(D60:K60,0,MATCH('RFPR cover'!$C$7,$D$6:$K$6,0))))/AVERAGE($D$66:INDEX($D$66:$K$66,0,MATCH('RFPR cover'!$C$7,$D$6:$K$6,0)))</f>
        <v>2.312696799051318E-2</v>
      </c>
      <c r="N40" s="139">
        <f>(AVERAGE(D59:K59)+AVERAGE(D60:K60))/AVERAGE($D$66:$K$66)</f>
        <v>3.2283462006229571E-2</v>
      </c>
      <c r="P40" s="426"/>
      <c r="Q40" s="831"/>
      <c r="R40" s="426"/>
    </row>
    <row r="41" spans="2:18">
      <c r="B41" s="205" t="s">
        <v>452</v>
      </c>
      <c r="C41" s="207" t="s">
        <v>7</v>
      </c>
      <c r="D41" s="137">
        <f>(D61+D62)/D$66</f>
        <v>-5.2957724610887148E-3</v>
      </c>
      <c r="E41" s="138">
        <f t="shared" ref="E41:K41" si="13">(E61+E62)/E$66</f>
        <v>-3.5839164393475192E-3</v>
      </c>
      <c r="F41" s="138">
        <f t="shared" si="13"/>
        <v>2.8551703007502001E-3</v>
      </c>
      <c r="G41" s="138">
        <f t="shared" si="13"/>
        <v>3.8043388936698556E-3</v>
      </c>
      <c r="H41" s="138">
        <f t="shared" si="13"/>
        <v>2.1315832933651081E-3</v>
      </c>
      <c r="I41" s="138">
        <f t="shared" si="13"/>
        <v>-2.3541078015447501E-3</v>
      </c>
      <c r="J41" s="138">
        <f t="shared" si="13"/>
        <v>1.120589984684855E-2</v>
      </c>
      <c r="K41" s="139">
        <f t="shared" si="13"/>
        <v>2.259403631092852E-2</v>
      </c>
      <c r="L41" s="135"/>
      <c r="M41" s="137">
        <f>(AVERAGE(D61:INDEX(D61:K61,0,MATCH('RFPR cover'!$C$7,$D$6:$K$6,0)))+AVERAGE(D62:INDEX(D62:K62,0,MATCH('RFPR cover'!$C$7,$D$6:$K$6,0))))/AVERAGE($D$66:INDEX($D$66:$K$66,0,MATCH('RFPR cover'!$C$7,$D$6:$K$6,0)))</f>
        <v>1.454978569782674E-3</v>
      </c>
      <c r="N41" s="139">
        <f>(AVERAGE(D61:K61)+AVERAGE(D62:K62))/AVERAGE($D$66:$K$66)</f>
        <v>4.3212807139607684E-3</v>
      </c>
      <c r="P41" s="426"/>
      <c r="Q41" s="831"/>
      <c r="R41" s="426"/>
    </row>
    <row r="42" spans="2:18">
      <c r="B42" s="206" t="str">
        <f>B63</f>
        <v>RoRE - including financing and tax</v>
      </c>
      <c r="C42" s="207" t="s">
        <v>7</v>
      </c>
      <c r="D42" s="153">
        <f>SUM(D39:D41)</f>
        <v>5.5755794991181676E-2</v>
      </c>
      <c r="E42" s="154">
        <f t="shared" ref="E42:K42" si="14">SUM(E39:E41)</f>
        <v>6.5614265743434666E-2</v>
      </c>
      <c r="F42" s="154">
        <f t="shared" si="14"/>
        <v>9.4075416680185056E-2</v>
      </c>
      <c r="G42" s="154">
        <f t="shared" si="14"/>
        <v>9.1981255306416598E-2</v>
      </c>
      <c r="H42" s="154">
        <f t="shared" si="14"/>
        <v>6.5651980202727833E-2</v>
      </c>
      <c r="I42" s="154">
        <f t="shared" si="14"/>
        <v>4.4195057441358487E-2</v>
      </c>
      <c r="J42" s="154">
        <f t="shared" si="14"/>
        <v>0.13022939155273724</v>
      </c>
      <c r="K42" s="155">
        <f t="shared" si="14"/>
        <v>0.14372582008878465</v>
      </c>
      <c r="L42" s="136"/>
      <c r="M42" s="153">
        <f>SUM(M39:M41)</f>
        <v>7.9190627864163102E-2</v>
      </c>
      <c r="N42" s="155">
        <f>SUM(N39:N41)</f>
        <v>8.7941129523862516E-2</v>
      </c>
      <c r="P42" s="426"/>
      <c r="Q42" s="831"/>
      <c r="R42" s="426"/>
    </row>
    <row r="43" spans="2:18" s="27" customFormat="1">
      <c r="B43" s="394"/>
      <c r="C43" s="395"/>
      <c r="D43" s="426"/>
      <c r="E43" s="426"/>
      <c r="F43" s="426"/>
      <c r="G43" s="426"/>
      <c r="H43" s="426"/>
      <c r="I43" s="426"/>
      <c r="J43" s="426"/>
      <c r="K43" s="426"/>
      <c r="L43" s="397"/>
      <c r="M43" s="396"/>
      <c r="N43" s="396"/>
    </row>
    <row r="44" spans="2:18" s="27" customFormat="1">
      <c r="B44" s="394"/>
      <c r="C44" s="395"/>
      <c r="D44" s="396"/>
      <c r="E44" s="396"/>
      <c r="F44" s="396"/>
      <c r="G44" s="396"/>
      <c r="H44" s="396"/>
      <c r="I44" s="396"/>
      <c r="J44" s="396"/>
      <c r="K44" s="396"/>
      <c r="L44" s="397"/>
      <c r="M44" s="396"/>
      <c r="N44" s="396"/>
    </row>
    <row r="45" spans="2:18" s="27" customFormat="1">
      <c r="B45" s="430" t="s">
        <v>387</v>
      </c>
      <c r="C45" s="431"/>
      <c r="D45" s="432"/>
      <c r="E45" s="432"/>
      <c r="F45" s="432"/>
      <c r="G45" s="432"/>
      <c r="H45" s="432"/>
      <c r="I45" s="432"/>
      <c r="J45" s="432"/>
      <c r="K45" s="432"/>
      <c r="L45" s="433"/>
      <c r="M45" s="432"/>
      <c r="N45" s="432"/>
      <c r="O45" s="178"/>
    </row>
    <row r="46" spans="2:18" s="27" customFormat="1">
      <c r="B46" s="435" t="str">
        <f>"Input values provided in "&amp;'RFPR cover'!C14&amp;" prices"</f>
        <v>Input values provided in £m 12/13 prices</v>
      </c>
      <c r="C46" s="434"/>
      <c r="D46" s="434"/>
      <c r="E46" s="434"/>
      <c r="F46" s="434"/>
      <c r="G46" s="434"/>
      <c r="H46" s="434"/>
      <c r="I46" s="434"/>
      <c r="J46" s="434"/>
      <c r="K46" s="434"/>
      <c r="L46" s="434"/>
      <c r="M46" s="434"/>
      <c r="N46" s="434"/>
      <c r="O46" s="434"/>
    </row>
    <row r="48" spans="2:18">
      <c r="B48" s="200" t="s">
        <v>224</v>
      </c>
      <c r="C48" s="282" t="str">
        <f>'RFPR cover'!$C$14</f>
        <v>£m 12/13</v>
      </c>
      <c r="D48" s="140">
        <f>'R9 - RAV'!D50</f>
        <v>31.944645123387154</v>
      </c>
      <c r="E48" s="141">
        <f>'R9 - RAV'!E50</f>
        <v>33.014504585637034</v>
      </c>
      <c r="F48" s="141">
        <f>'R9 - RAV'!F50</f>
        <v>34.123503098173018</v>
      </c>
      <c r="G48" s="141">
        <f>'R9 - RAV'!G50</f>
        <v>35.290806179970666</v>
      </c>
      <c r="H48" s="141">
        <f>'R9 - RAV'!H50</f>
        <v>36.214267113977513</v>
      </c>
      <c r="I48" s="141">
        <f>'R9 - RAV'!I50</f>
        <v>36.654696961921204</v>
      </c>
      <c r="J48" s="141">
        <f>'R9 - RAV'!J50</f>
        <v>37.090978235358236</v>
      </c>
      <c r="K48" s="142">
        <f>'R9 - RAV'!K50</f>
        <v>37.687881171740507</v>
      </c>
      <c r="M48" s="78">
        <f>SUM(D48:INDEX(D48:K48,0,MATCH('RFPR cover'!$C$7,$D$6:$K$6,0)))</f>
        <v>244.33340129842486</v>
      </c>
      <c r="N48" s="80">
        <f>SUM(D48:K48)</f>
        <v>282.02128247016537</v>
      </c>
      <c r="P48" s="426"/>
      <c r="Q48" s="426"/>
    </row>
    <row r="49" spans="2:17">
      <c r="B49" s="200" t="s">
        <v>99</v>
      </c>
      <c r="C49" s="282" t="str">
        <f>'RFPR cover'!$C$14</f>
        <v>£m 12/13</v>
      </c>
      <c r="D49" s="204">
        <f>'R4 - Totex'!D35+'R4 - Totex'!D63</f>
        <v>0.63763565992941285</v>
      </c>
      <c r="E49" s="204">
        <f>'R4 - Totex'!E35+'R4 - Totex'!E63</f>
        <v>0.36808100393053156</v>
      </c>
      <c r="F49" s="204">
        <f>'R4 - Totex'!F35+'R4 - Totex'!F63</f>
        <v>0.38303930307428224</v>
      </c>
      <c r="G49" s="204">
        <f>'R4 - Totex'!G35+'R4 - Totex'!G63</f>
        <v>0.60756642593632648</v>
      </c>
      <c r="H49" s="204">
        <f>'R4 - Totex'!H35+'R4 - Totex'!H63</f>
        <v>-12.865329642451481</v>
      </c>
      <c r="I49" s="204">
        <f>'R4 - Totex'!I35+'R4 - Totex'!I63</f>
        <v>-12.848797470729114</v>
      </c>
      <c r="J49" s="204">
        <f>'R4 - Totex'!J35+'R4 - Totex'!J63</f>
        <v>-6.4351051026751129</v>
      </c>
      <c r="K49" s="144">
        <f>'R4 - Totex'!K35+'R4 - Totex'!K63</f>
        <v>-20.038198265540156</v>
      </c>
      <c r="M49" s="81">
        <f>SUM(D49:INDEX(D49:K49,0,MATCH('RFPR cover'!$C$7,$D$6:$K$6,0)))</f>
        <v>-30.152909822985155</v>
      </c>
      <c r="N49" s="83">
        <f>SUM(D49:K49)</f>
        <v>-50.191108088525311</v>
      </c>
      <c r="P49" s="426"/>
      <c r="Q49" s="426"/>
    </row>
    <row r="50" spans="2:17">
      <c r="B50" s="202" t="s">
        <v>107</v>
      </c>
      <c r="C50" s="282" t="str">
        <f>'RFPR cover'!$C$14</f>
        <v>£m 12/13</v>
      </c>
      <c r="D50" s="195">
        <f>'R4 - Totex'!D79</f>
        <v>-2.1317145269512103</v>
      </c>
      <c r="E50" s="143">
        <f>'R4 - Totex'!E79</f>
        <v>-2.193973633026753</v>
      </c>
      <c r="F50" s="143">
        <f>'R4 - Totex'!F79</f>
        <v>-1.9869010217130036</v>
      </c>
      <c r="G50" s="143">
        <f>'R4 - Totex'!G79</f>
        <v>-1.8037552784318813</v>
      </c>
      <c r="H50" s="143">
        <f>'R4 - Totex'!H79</f>
        <v>-1.7767942495618843</v>
      </c>
      <c r="I50" s="143">
        <f>'R4 - Totex'!I79</f>
        <v>-1.7901472583807538</v>
      </c>
      <c r="J50" s="143">
        <f>'R4 - Totex'!J79</f>
        <v>-1.6444113686346382</v>
      </c>
      <c r="K50" s="144">
        <f>'R4 - Totex'!K79</f>
        <v>-1.467384504290556</v>
      </c>
      <c r="M50" s="81">
        <f>SUM(D50:INDEX(D50:K50,0,MATCH('RFPR cover'!$C$7,$D$6:$K$6,0)))</f>
        <v>-13.327697336700126</v>
      </c>
      <c r="N50" s="83">
        <f t="shared" ref="N50:N57" si="15">SUM(D50:K50)</f>
        <v>-14.795081840990683</v>
      </c>
      <c r="P50" s="426"/>
      <c r="Q50" s="426"/>
    </row>
    <row r="51" spans="2:17">
      <c r="B51" s="203" t="str">
        <f>'R5 - Output Incentives'!B39</f>
        <v>Broad measure of customer service</v>
      </c>
      <c r="C51" s="282" t="str">
        <f>'RFPR cover'!$C$14</f>
        <v>£m 12/13</v>
      </c>
      <c r="D51" s="195">
        <f>'R5 - Output Incentives'!D39</f>
        <v>2.5104330000000008</v>
      </c>
      <c r="E51" s="143">
        <f>'R5 - Output Incentives'!E39</f>
        <v>2.6532927000000002</v>
      </c>
      <c r="F51" s="143">
        <f>'R5 - Output Incentives'!F39</f>
        <v>2.3474043000000036</v>
      </c>
      <c r="G51" s="143">
        <f>'R5 - Output Incentives'!G39</f>
        <v>3.4340152500000021</v>
      </c>
      <c r="H51" s="143">
        <f>'R5 - Output Incentives'!H39</f>
        <v>3.5388900000000008</v>
      </c>
      <c r="I51" s="143">
        <f>'R5 - Output Incentives'!I39</f>
        <v>3.6004500000000004</v>
      </c>
      <c r="J51" s="143">
        <f>'R5 - Output Incentives'!J39</f>
        <v>2.411908665768018</v>
      </c>
      <c r="K51" s="144">
        <f>'R5 - Output Incentives'!K39</f>
        <v>2.754</v>
      </c>
      <c r="M51" s="81">
        <f>SUM(D51:INDEX(D51:K51,0,MATCH('RFPR cover'!$C$7,$D$6:$K$6,0)))</f>
        <v>20.496393915768024</v>
      </c>
      <c r="N51" s="83">
        <f t="shared" si="15"/>
        <v>23.250393915768026</v>
      </c>
      <c r="P51" s="426"/>
      <c r="Q51" s="426"/>
    </row>
    <row r="52" spans="2:17">
      <c r="B52" s="203" t="str">
        <f>'R5 - Output Incentives'!B40</f>
        <v>Interruptions-related quality of service</v>
      </c>
      <c r="C52" s="282" t="str">
        <f>'RFPR cover'!$C$14</f>
        <v>£m 12/13</v>
      </c>
      <c r="D52" s="195">
        <f>'R5 - Output Incentives'!D40</f>
        <v>4.6680963963750033</v>
      </c>
      <c r="E52" s="143">
        <f>'R5 - Output Incentives'!E40</f>
        <v>2.0808553023463019</v>
      </c>
      <c r="F52" s="143">
        <f>'R5 - Output Incentives'!F40</f>
        <v>3.6982142500000017</v>
      </c>
      <c r="G52" s="143">
        <f>'R5 - Output Incentives'!G40</f>
        <v>1.518545523625771</v>
      </c>
      <c r="H52" s="143">
        <f>'R5 - Output Incentives'!H40</f>
        <v>1.8346995717344921</v>
      </c>
      <c r="I52" s="143">
        <f>'R5 - Output Incentives'!I40</f>
        <v>1.1239358327864635</v>
      </c>
      <c r="J52" s="143">
        <f>'R5 - Output Incentives'!J40</f>
        <v>2.0947063239791412</v>
      </c>
      <c r="K52" s="144">
        <f>'R5 - Output Incentives'!K40</f>
        <v>1.6</v>
      </c>
      <c r="M52" s="81">
        <f>SUM(D52:INDEX(D52:K52,0,MATCH('RFPR cover'!$C$7,$D$6:$K$6,0)))</f>
        <v>17.019053200847175</v>
      </c>
      <c r="N52" s="83">
        <f t="shared" si="15"/>
        <v>18.619053200847176</v>
      </c>
      <c r="P52" s="426"/>
      <c r="Q52" s="426"/>
    </row>
    <row r="53" spans="2:17">
      <c r="B53" s="203" t="str">
        <f>'R5 - Output Incentives'!B41</f>
        <v>Incentive on connections engagement</v>
      </c>
      <c r="C53" s="282" t="str">
        <f>'RFPR cover'!$C$14</f>
        <v>£m 12/13</v>
      </c>
      <c r="D53" s="195">
        <f>'R5 - Output Incentives'!D41</f>
        <v>0</v>
      </c>
      <c r="E53" s="143">
        <f>'R5 - Output Incentives'!E41</f>
        <v>0</v>
      </c>
      <c r="F53" s="143">
        <f>'R5 - Output Incentives'!F41</f>
        <v>0</v>
      </c>
      <c r="G53" s="143">
        <f>'R5 - Output Incentives'!G41</f>
        <v>0</v>
      </c>
      <c r="H53" s="143">
        <f>'R5 - Output Incentives'!H41</f>
        <v>0</v>
      </c>
      <c r="I53" s="143">
        <f>'R5 - Output Incentives'!I41</f>
        <v>0</v>
      </c>
      <c r="J53" s="143">
        <f>'R5 - Output Incentives'!J41</f>
        <v>0</v>
      </c>
      <c r="K53" s="144">
        <f>'R5 - Output Incentives'!K41</f>
        <v>0</v>
      </c>
      <c r="M53" s="81">
        <f>SUM(D53:INDEX(D53:K53,0,MATCH('RFPR cover'!$C$7,$D$6:$K$6,0)))</f>
        <v>0</v>
      </c>
      <c r="N53" s="83">
        <f t="shared" si="15"/>
        <v>0</v>
      </c>
      <c r="P53" s="426"/>
      <c r="Q53" s="426"/>
    </row>
    <row r="54" spans="2:17">
      <c r="B54" s="203" t="str">
        <f>'R5 - Output Incentives'!B42</f>
        <v>Time to Connect Incentive</v>
      </c>
      <c r="C54" s="282" t="str">
        <f>'RFPR cover'!$C$14</f>
        <v>£m 12/13</v>
      </c>
      <c r="D54" s="195">
        <f>'R5 - Output Incentives'!D42</f>
        <v>0.81658857446808519</v>
      </c>
      <c r="E54" s="143">
        <f>'R5 - Output Incentives'!E42</f>
        <v>0.48599999999999999</v>
      </c>
      <c r="F54" s="143">
        <f>'R5 - Output Incentives'!F42</f>
        <v>0.48599999999999999</v>
      </c>
      <c r="G54" s="143">
        <f>'R5 - Output Incentives'!G42</f>
        <v>0.48599999999999999</v>
      </c>
      <c r="H54" s="143">
        <f>'R5 - Output Incentives'!H42</f>
        <v>8.3782612638481357E-2</v>
      </c>
      <c r="I54" s="143">
        <f>'R5 - Output Incentives'!I42</f>
        <v>7.3739159999999915E-2</v>
      </c>
      <c r="J54" s="143">
        <f>'R5 - Output Incentives'!J42</f>
        <v>0.22559989434601388</v>
      </c>
      <c r="K54" s="144">
        <f>'R5 - Output Incentives'!K42</f>
        <v>0.32400000000000007</v>
      </c>
      <c r="M54" s="81">
        <f>SUM(D54:INDEX(D54:K54,0,MATCH('RFPR cover'!$C$7,$D$6:$K$6,0)))</f>
        <v>2.6577102414525804</v>
      </c>
      <c r="N54" s="83">
        <f t="shared" si="15"/>
        <v>2.9817102414525802</v>
      </c>
      <c r="P54" s="426"/>
      <c r="Q54" s="426"/>
    </row>
    <row r="55" spans="2:17">
      <c r="B55" s="203" t="str">
        <f>'R5 - Output Incentives'!B43</f>
        <v>Losses discretionary reward scheme</v>
      </c>
      <c r="C55" s="282" t="str">
        <f>'RFPR cover'!$C$14</f>
        <v>£m 12/13</v>
      </c>
      <c r="D55" s="195">
        <f>'R5 - Output Incentives'!D43</f>
        <v>0</v>
      </c>
      <c r="E55" s="143">
        <f>'R5 - Output Incentives'!E43</f>
        <v>0.31185000000000002</v>
      </c>
      <c r="F55" s="143">
        <f>'R5 - Output Incentives'!F43</f>
        <v>0</v>
      </c>
      <c r="G55" s="143">
        <f>'R5 - Output Incentives'!G43</f>
        <v>0</v>
      </c>
      <c r="H55" s="143">
        <f>'R5 - Output Incentives'!H43</f>
        <v>0</v>
      </c>
      <c r="I55" s="143">
        <f>'R5 - Output Incentives'!I43</f>
        <v>0</v>
      </c>
      <c r="J55" s="143">
        <f>'R5 - Output Incentives'!J43</f>
        <v>0</v>
      </c>
      <c r="K55" s="144">
        <f>'R5 - Output Incentives'!K43</f>
        <v>0</v>
      </c>
      <c r="M55" s="81">
        <f>SUM(D55:INDEX(D55:K55,0,MATCH('RFPR cover'!$C$7,$D$6:$K$6,0)))</f>
        <v>0.31185000000000002</v>
      </c>
      <c r="N55" s="83">
        <f t="shared" si="15"/>
        <v>0.31185000000000002</v>
      </c>
      <c r="P55" s="426"/>
      <c r="Q55" s="426"/>
    </row>
    <row r="56" spans="2:17">
      <c r="B56" s="200" t="s">
        <v>493</v>
      </c>
      <c r="C56" s="282" t="str">
        <f>'RFPR cover'!$C$14</f>
        <v>£m 12/13</v>
      </c>
      <c r="D56" s="195">
        <f>-'R6 - Innovation'!D28</f>
        <v>-1.5434980695120804</v>
      </c>
      <c r="E56" s="143">
        <f>-'R6 - Innovation'!E28</f>
        <v>-0.13919455454163801</v>
      </c>
      <c r="F56" s="143">
        <f>-'R6 - Innovation'!F28</f>
        <v>-0.85395361496456923</v>
      </c>
      <c r="G56" s="143">
        <f>-'R6 - Innovation'!G28</f>
        <v>-0.79684694092168606</v>
      </c>
      <c r="H56" s="143">
        <f>-'R6 - Innovation'!H28</f>
        <v>-0.15039229207239954</v>
      </c>
      <c r="I56" s="143">
        <f>-'R6 - Innovation'!I28</f>
        <v>-0.16614698482531312</v>
      </c>
      <c r="J56" s="143">
        <f>-'R6 - Innovation'!J28</f>
        <v>-0.16687537064144045</v>
      </c>
      <c r="K56" s="144">
        <f>-'R6 - Innovation'!K28</f>
        <v>-0.10978209010964081</v>
      </c>
      <c r="M56" s="81">
        <f>SUM(D56:INDEX(D56:K56,0,MATCH('RFPR cover'!$C$7,$D$6:$K$6,0)))</f>
        <v>-3.816907827479127</v>
      </c>
      <c r="N56" s="83">
        <f t="shared" si="15"/>
        <v>-3.9266899175887677</v>
      </c>
      <c r="P56" s="426"/>
      <c r="Q56" s="426"/>
    </row>
    <row r="57" spans="2:17">
      <c r="B57" s="200" t="s">
        <v>33</v>
      </c>
      <c r="C57" s="282" t="str">
        <f>'RFPR cover'!$C$14</f>
        <v>£m 12/13</v>
      </c>
      <c r="D57" s="196">
        <f>-'R13 - Other Activities '!D8</f>
        <v>-6.3596562262703679E-3</v>
      </c>
      <c r="E57" s="196">
        <f>-'R13 - Other Activities '!E8</f>
        <v>-2.3259600006792654E-3</v>
      </c>
      <c r="F57" s="196">
        <f>-'R13 - Other Activities '!F8</f>
        <v>-1.0831827079422936E-2</v>
      </c>
      <c r="G57" s="196">
        <f>-'R13 - Other Activities '!G8</f>
        <v>-2.1682403307531031E-2</v>
      </c>
      <c r="H57" s="196">
        <f>-'R13 - Other Activities '!H8</f>
        <v>-3.3579821580329065E-2</v>
      </c>
      <c r="I57" s="196">
        <f>-'R13 - Other Activities '!I8</f>
        <v>-5.5218309450424927E-2</v>
      </c>
      <c r="J57" s="196">
        <f>-'R13 - Other Activities '!J8</f>
        <v>-0.35015664076568737</v>
      </c>
      <c r="K57" s="833">
        <f>-'R13 - Other Activities '!K8</f>
        <v>0</v>
      </c>
      <c r="M57" s="75">
        <f>SUM(D57:INDEX(D57:K57,0,MATCH('RFPR cover'!$C$7,$D$6:$K$6,0)))</f>
        <v>-0.48015461841034496</v>
      </c>
      <c r="N57" s="77">
        <f t="shared" si="15"/>
        <v>-0.48015461841034496</v>
      </c>
      <c r="P57" s="426"/>
      <c r="Q57" s="426"/>
    </row>
    <row r="58" spans="2:17">
      <c r="B58" s="201" t="s">
        <v>100</v>
      </c>
      <c r="C58" s="282" t="str">
        <f>'RFPR cover'!$C$14</f>
        <v>£m 12/13</v>
      </c>
      <c r="D58" s="197">
        <f t="shared" ref="D58:K58" si="16">SUM(D48:D57)</f>
        <v>36.895826501470097</v>
      </c>
      <c r="E58" s="114">
        <f t="shared" si="16"/>
        <v>36.579089444344788</v>
      </c>
      <c r="F58" s="114">
        <f t="shared" si="16"/>
        <v>38.186474487490308</v>
      </c>
      <c r="G58" s="114">
        <f t="shared" si="16"/>
        <v>38.714648756871661</v>
      </c>
      <c r="H58" s="114">
        <f t="shared" si="16"/>
        <v>26.845543292684393</v>
      </c>
      <c r="I58" s="114">
        <f t="shared" si="16"/>
        <v>26.592511931322065</v>
      </c>
      <c r="J58" s="114">
        <f t="shared" si="16"/>
        <v>33.22664463673452</v>
      </c>
      <c r="K58" s="115">
        <f t="shared" si="16"/>
        <v>20.750516311800158</v>
      </c>
      <c r="M58" s="113">
        <f>SUM(M48:M57)</f>
        <v>237.04073905091784</v>
      </c>
      <c r="N58" s="115">
        <f>SUM(N48:N57)</f>
        <v>257.79125536271806</v>
      </c>
      <c r="P58" s="426"/>
      <c r="Q58" s="426"/>
    </row>
    <row r="59" spans="2:17">
      <c r="B59" s="200" t="s">
        <v>432</v>
      </c>
      <c r="C59" s="282" t="str">
        <f>'RFPR cover'!$C$14</f>
        <v>£m 12/13</v>
      </c>
      <c r="D59" s="195">
        <f>'R7 - Financing'!D88+'R10 - Tax'!D88</f>
        <v>-3.2399143215245423</v>
      </c>
      <c r="E59" s="195">
        <f>'R7 - Financing'!E88+'R10 - Tax'!E88</f>
        <v>5.1406264974622466</v>
      </c>
      <c r="F59" s="195">
        <f>'R7 - Financing'!F88+'R10 - Tax'!F88</f>
        <v>20.667722422520868</v>
      </c>
      <c r="G59" s="195">
        <f>'R7 - Financing'!G88+'R10 - Tax'!G88</f>
        <v>16.584385184011936</v>
      </c>
      <c r="H59" s="195">
        <f>'R7 - Financing'!H88+'R10 - Tax'!H88</f>
        <v>12.315192329069346</v>
      </c>
      <c r="I59" s="195">
        <f>'R7 - Financing'!I88+'R10 - Tax'!I88</f>
        <v>1.8757587432232175</v>
      </c>
      <c r="J59" s="195">
        <f>'R7 - Financing'!J88+'R10 - Tax'!J88</f>
        <v>46.533204206678327</v>
      </c>
      <c r="K59" s="144">
        <f>'R7 - Financing'!K88+'R10 - Tax'!K88</f>
        <v>63.993526612352504</v>
      </c>
      <c r="M59" s="81">
        <f>SUM(D59:INDEX(D59:K59,0,MATCH('RFPR cover'!$C$7,$D$6:$K$6,0)))</f>
        <v>99.876975061441399</v>
      </c>
      <c r="N59" s="83">
        <f>SUM(D59:K59)</f>
        <v>163.87050167379391</v>
      </c>
      <c r="P59" s="426"/>
      <c r="Q59" s="426"/>
    </row>
    <row r="60" spans="2:17">
      <c r="B60" s="200" t="s">
        <v>427</v>
      </c>
      <c r="C60" s="282" t="str">
        <f>'RFPR cover'!$C$14</f>
        <v>£m 12/13</v>
      </c>
      <c r="D60" s="195">
        <f>'R7 - Financing'!D90+'R10 - Tax'!D89</f>
        <v>0.69168109589931603</v>
      </c>
      <c r="E60" s="195">
        <f>'R7 - Financing'!E90+'R10 - Tax'!E89</f>
        <v>0.93147738380505163</v>
      </c>
      <c r="F60" s="195">
        <f>'R7 - Financing'!F90+'R10 - Tax'!F89</f>
        <v>-9.4132691476182195E-2</v>
      </c>
      <c r="G60" s="195">
        <f>'R7 - Financing'!G90+'R10 - Tax'!G89</f>
        <v>6.0958999107987744E-2</v>
      </c>
      <c r="H60" s="195">
        <f>'R7 - Financing'!H90+'R10 - Tax'!H89</f>
        <v>6.6065968888417093E-2</v>
      </c>
      <c r="I60" s="195">
        <f>'R7 - Financing'!I90+'R10 - Tax'!I89</f>
        <v>1.1654047845934823E-2</v>
      </c>
      <c r="J60" s="195">
        <f>'R7 - Financing'!J90+'R10 - Tax'!J89</f>
        <v>-1.1570958113637246</v>
      </c>
      <c r="K60" s="144">
        <f>'R7 - Financing'!K90+'R10 - Tax'!K89</f>
        <v>-2.2661914792933224</v>
      </c>
      <c r="M60" s="81">
        <f>SUM(D60:INDEX(D60:K60,0,MATCH('RFPR cover'!$C$7,$D$6:$K$6,0)))</f>
        <v>0.51060899270680049</v>
      </c>
      <c r="N60" s="83">
        <f>SUM(D60:K60)</f>
        <v>-1.7555824865865219</v>
      </c>
      <c r="P60" s="426"/>
      <c r="Q60" s="426"/>
    </row>
    <row r="61" spans="2:17">
      <c r="B61" s="200" t="s">
        <v>433</v>
      </c>
      <c r="C61" s="282" t="str">
        <f>'RFPR cover'!$C$14</f>
        <v>£m 12/13</v>
      </c>
      <c r="D61" s="195">
        <f>'R10 - Tax'!D81-'R10 - Tax'!D88</f>
        <v>-2.9793999755551033</v>
      </c>
      <c r="E61" s="195">
        <f>'R10 - Tax'!E81-'R10 - Tax'!E88</f>
        <v>-2.208993185885805</v>
      </c>
      <c r="F61" s="195">
        <f>'R10 - Tax'!F81-'R10 - Tax'!F88</f>
        <v>1.8391749297528586</v>
      </c>
      <c r="G61" s="195">
        <f>'R10 - Tax'!G81-'R10 - Tax'!G88</f>
        <v>2.3884728890843063</v>
      </c>
      <c r="H61" s="195">
        <f>'R10 - Tax'!H81-'R10 - Tax'!H88</f>
        <v>1.3163518962589476</v>
      </c>
      <c r="I61" s="195">
        <f>'R10 - Tax'!I81-'R10 - Tax'!I88</f>
        <v>-1.4403010800845628</v>
      </c>
      <c r="J61" s="195">
        <f>'R10 - Tax'!J81-'R10 - Tax'!J88</f>
        <v>7.4003422815072373</v>
      </c>
      <c r="K61" s="144">
        <f>'R10 - Tax'!K81-'R10 - Tax'!K88</f>
        <v>15.384133810908054</v>
      </c>
      <c r="M61" s="81">
        <f>SUM(D61:INDEX(D61:K61,0,MATCH('RFPR cover'!$C$7,$D$6:$K$6,0)))</f>
        <v>6.3156477550778787</v>
      </c>
      <c r="N61" s="83">
        <f>SUM(D61:K61)</f>
        <v>21.699781565985933</v>
      </c>
      <c r="P61" s="426"/>
      <c r="Q61" s="426"/>
    </row>
    <row r="62" spans="2:17">
      <c r="B62" s="200" t="s">
        <v>428</v>
      </c>
      <c r="C62" s="282" t="str">
        <f>'RFPR cover'!$C$14</f>
        <v>£m 12/13</v>
      </c>
      <c r="D62" s="195">
        <f>'R10 - Tax'!D83-'R10 - Tax'!D89</f>
        <v>0</v>
      </c>
      <c r="E62" s="195">
        <f>'R10 - Tax'!E83-'R10 - Tax'!E89</f>
        <v>2.2204460492503131E-16</v>
      </c>
      <c r="F62" s="195">
        <f>'R10 - Tax'!F83-'R10 - Tax'!F89</f>
        <v>8.8817841970012523E-16</v>
      </c>
      <c r="G62" s="195">
        <f>'R10 - Tax'!G83-'R10 - Tax'!G89</f>
        <v>0</v>
      </c>
      <c r="H62" s="195">
        <f>'R10 - Tax'!H83-'R10 - Tax'!H89</f>
        <v>4.4408920985006262E-16</v>
      </c>
      <c r="I62" s="195">
        <f>'R10 - Tax'!I83-'R10 - Tax'!I89</f>
        <v>-4.4408920985006262E-16</v>
      </c>
      <c r="J62" s="195">
        <f>'R10 - Tax'!J83-'R10 - Tax'!J89</f>
        <v>-1.3322676295501878E-15</v>
      </c>
      <c r="K62" s="144">
        <f>'R10 - Tax'!K83-'R10 - Tax'!K89</f>
        <v>0</v>
      </c>
      <c r="M62" s="75">
        <f>SUM(D62:INDEX(D62:K62,0,MATCH('RFPR cover'!$C$7,$D$6:$K$6,0)))</f>
        <v>-2.2204460492503131E-16</v>
      </c>
      <c r="N62" s="77">
        <f>SUM(D62:K62)</f>
        <v>-2.2204460492503131E-16</v>
      </c>
    </row>
    <row r="63" spans="2:17">
      <c r="B63" s="201" t="s">
        <v>101</v>
      </c>
      <c r="C63" s="282" t="str">
        <f>'RFPR cover'!$C$14</f>
        <v>£m 12/13</v>
      </c>
      <c r="D63" s="198">
        <f>SUM(D58:D62)</f>
        <v>31.368193300289768</v>
      </c>
      <c r="E63" s="117">
        <f t="shared" ref="E63:K63" si="17">SUM(E58:E62)</f>
        <v>40.442200139726289</v>
      </c>
      <c r="F63" s="117">
        <f t="shared" si="17"/>
        <v>60.59923914828785</v>
      </c>
      <c r="G63" s="117">
        <f t="shared" si="17"/>
        <v>57.74846582907589</v>
      </c>
      <c r="H63" s="117">
        <f t="shared" si="17"/>
        <v>40.543153486901105</v>
      </c>
      <c r="I63" s="117">
        <f t="shared" si="17"/>
        <v>27.039623642306651</v>
      </c>
      <c r="J63" s="117">
        <f t="shared" si="17"/>
        <v>86.003095313556358</v>
      </c>
      <c r="K63" s="118">
        <f t="shared" si="17"/>
        <v>97.861985255767394</v>
      </c>
      <c r="M63" s="116">
        <f>SUM(M58:M62)</f>
        <v>343.74397086014392</v>
      </c>
      <c r="N63" s="118">
        <f>SUM(N58:N62)</f>
        <v>441.60595611591134</v>
      </c>
    </row>
    <row r="64" spans="2:17">
      <c r="B64" s="200"/>
      <c r="D64" s="426"/>
      <c r="E64" s="426"/>
      <c r="F64" s="426"/>
      <c r="G64" s="426"/>
      <c r="H64" s="426"/>
      <c r="I64" s="426"/>
      <c r="J64" s="426"/>
      <c r="K64" s="426"/>
    </row>
    <row r="65" spans="2:11">
      <c r="B65" s="200" t="s">
        <v>228</v>
      </c>
      <c r="C65" s="282" t="str">
        <f>'RFPR cover'!$C$14</f>
        <v>£m 12/13</v>
      </c>
      <c r="D65" s="194">
        <f>'R9 - RAV'!D46</f>
        <v>532.41075205645257</v>
      </c>
      <c r="E65" s="141">
        <f>'R9 - RAV'!E46</f>
        <v>550.24174309395062</v>
      </c>
      <c r="F65" s="141">
        <f>'R9 - RAV'!F46</f>
        <v>568.72505163621702</v>
      </c>
      <c r="G65" s="141">
        <f>'R9 - RAV'!G46</f>
        <v>588.18010299951118</v>
      </c>
      <c r="H65" s="141">
        <f>'R9 - RAV'!H46</f>
        <v>603.57111856629194</v>
      </c>
      <c r="I65" s="141">
        <f>'R9 - RAV'!I46</f>
        <v>610.91161603202011</v>
      </c>
      <c r="J65" s="141">
        <f>'R9 - RAV'!J46</f>
        <v>618.18297058930398</v>
      </c>
      <c r="K65" s="142">
        <f>'R9 - RAV'!K46</f>
        <v>628.13135286234183</v>
      </c>
    </row>
    <row r="66" spans="2:11">
      <c r="B66" s="200" t="s">
        <v>104</v>
      </c>
      <c r="C66" s="282" t="str">
        <f>'RFPR cover'!$C$14</f>
        <v>£m 12/13</v>
      </c>
      <c r="D66" s="199">
        <f>'R8 - Net Debt'!D62</f>
        <v>562.59969578500215</v>
      </c>
      <c r="E66" s="145">
        <f>'R8 - Net Debt'!E62</f>
        <v>616.36291561752205</v>
      </c>
      <c r="F66" s="145">
        <f>'R8 - Net Debt'!F62</f>
        <v>644.15594728959377</v>
      </c>
      <c r="G66" s="145">
        <f>'R8 - Net Debt'!G62</f>
        <v>627.82863352645904</v>
      </c>
      <c r="H66" s="145">
        <f>'R8 - Net Debt'!H62</f>
        <v>617.54654409063096</v>
      </c>
      <c r="I66" s="145">
        <f>'R8 - Net Debt'!I62</f>
        <v>611.82460681683619</v>
      </c>
      <c r="J66" s="145">
        <f>'R8 - Net Debt'!J62</f>
        <v>660.39696790512039</v>
      </c>
      <c r="K66" s="146">
        <f>'R8 - Net Debt'!K62</f>
        <v>680.893559663215</v>
      </c>
    </row>
  </sheetData>
  <conditionalFormatting sqref="D5:K6">
    <cfRule type="expression" dxfId="95"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4.375" style="174" customWidth="1"/>
    <col min="3" max="3" width="13.375" style="109" customWidth="1"/>
    <col min="4" max="11" width="11.125" customWidth="1"/>
    <col min="12" max="12" width="5" customWidth="1"/>
  </cols>
  <sheetData>
    <row r="1" spans="1:12" ht="20.25">
      <c r="A1" s="698" t="s">
        <v>116</v>
      </c>
      <c r="B1" s="685"/>
      <c r="C1" s="218"/>
      <c r="D1" s="217"/>
      <c r="E1" s="217"/>
      <c r="F1" s="217"/>
      <c r="G1" s="217"/>
      <c r="H1" s="217"/>
      <c r="I1" s="217"/>
      <c r="J1" s="217"/>
      <c r="K1" s="217"/>
      <c r="L1" s="754"/>
    </row>
    <row r="2" spans="1:12" ht="20.25">
      <c r="A2" s="674" t="str">
        <f>'RFPR cover'!C5</f>
        <v>SPMW</v>
      </c>
      <c r="B2" s="712"/>
      <c r="C2" s="755"/>
      <c r="D2" s="703"/>
      <c r="E2" s="703"/>
      <c r="F2" s="703"/>
      <c r="G2" s="703"/>
      <c r="H2" s="703"/>
      <c r="I2" s="704"/>
      <c r="J2" s="704"/>
      <c r="K2" s="704"/>
      <c r="L2" s="705"/>
    </row>
    <row r="3" spans="1:12" ht="20.25">
      <c r="A3" s="677">
        <f>'RFPR cover'!C7</f>
        <v>2022</v>
      </c>
      <c r="B3" s="686"/>
      <c r="C3" s="219"/>
      <c r="D3" s="212"/>
      <c r="E3" s="212"/>
      <c r="F3" s="212"/>
      <c r="G3" s="212"/>
      <c r="H3" s="212"/>
      <c r="I3" s="707"/>
      <c r="J3" s="707"/>
      <c r="K3" s="707"/>
      <c r="L3" s="708"/>
    </row>
    <row r="4" spans="1:12" s="2" customFormat="1" ht="12.75" customHeight="1">
      <c r="B4" s="106"/>
      <c r="C4" s="109"/>
    </row>
    <row r="5" spans="1:12" s="2" customFormat="1">
      <c r="B5" s="106"/>
      <c r="C5" s="109"/>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row>
    <row r="6" spans="1:12" s="2" customFormat="1">
      <c r="B6" s="106"/>
      <c r="C6" s="109"/>
      <c r="D6" s="73">
        <f>'RFPR cover'!$C$13</f>
        <v>2016</v>
      </c>
      <c r="E6" s="74">
        <f>D6+1</f>
        <v>2017</v>
      </c>
      <c r="F6" s="74">
        <f t="shared" ref="F6:K6" si="0">E6+1</f>
        <v>2018</v>
      </c>
      <c r="G6" s="74">
        <f t="shared" si="0"/>
        <v>2019</v>
      </c>
      <c r="H6" s="74">
        <f t="shared" si="0"/>
        <v>2020</v>
      </c>
      <c r="I6" s="74">
        <f t="shared" si="0"/>
        <v>2021</v>
      </c>
      <c r="J6" s="74">
        <f t="shared" si="0"/>
        <v>2022</v>
      </c>
      <c r="K6" s="74">
        <f t="shared" si="0"/>
        <v>2023</v>
      </c>
    </row>
    <row r="7" spans="1:12" s="2" customFormat="1">
      <c r="B7" s="764"/>
      <c r="C7" s="121"/>
      <c r="D7" s="765"/>
      <c r="E7" s="765"/>
      <c r="F7" s="765"/>
      <c r="G7" s="765"/>
      <c r="H7" s="765"/>
      <c r="I7" s="765"/>
      <c r="J7" s="765"/>
      <c r="K7" s="765"/>
    </row>
    <row r="8" spans="1:12" s="2" customFormat="1">
      <c r="B8" s="592" t="s">
        <v>151</v>
      </c>
      <c r="C8" s="119"/>
      <c r="D8" s="63"/>
      <c r="E8" s="63"/>
      <c r="F8" s="63"/>
      <c r="G8" s="63"/>
      <c r="H8" s="63"/>
      <c r="I8" s="63"/>
      <c r="J8" s="63"/>
      <c r="K8" s="63"/>
      <c r="L8" s="63"/>
    </row>
    <row r="9" spans="1:12" s="2" customFormat="1">
      <c r="B9" s="319"/>
      <c r="C9" s="109"/>
    </row>
    <row r="10" spans="1:12" s="2" customFormat="1">
      <c r="B10" s="593" t="s">
        <v>380</v>
      </c>
      <c r="C10" s="120" t="str">
        <f>'RFPR cover'!$C$14</f>
        <v>£m 12/13</v>
      </c>
      <c r="D10" s="492">
        <v>304.60000000000002</v>
      </c>
      <c r="E10" s="493">
        <v>310.89999999999998</v>
      </c>
      <c r="F10" s="493">
        <v>310.89999999999998</v>
      </c>
      <c r="G10" s="493">
        <v>310.89999999999998</v>
      </c>
      <c r="H10" s="493">
        <v>310.89999999999998</v>
      </c>
      <c r="I10" s="493">
        <v>310.89999999999998</v>
      </c>
      <c r="J10" s="499">
        <v>310.89999999999998</v>
      </c>
      <c r="K10" s="822">
        <v>0</v>
      </c>
    </row>
    <row r="11" spans="1:12" s="2" customFormat="1">
      <c r="B11" s="593" t="s">
        <v>381</v>
      </c>
      <c r="C11" s="120" t="str">
        <f>'RFPR cover'!$C$14</f>
        <v>£m 12/13</v>
      </c>
      <c r="D11" s="494">
        <v>0</v>
      </c>
      <c r="E11" s="495">
        <v>-3.5338659352710238</v>
      </c>
      <c r="F11" s="495">
        <v>-6.6571910919110451</v>
      </c>
      <c r="G11" s="495">
        <v>-18.498439329706684</v>
      </c>
      <c r="H11" s="495">
        <v>-13.61797150048767</v>
      </c>
      <c r="I11" s="495">
        <v>0.78845084398585641</v>
      </c>
      <c r="J11" s="500">
        <v>-2.4</v>
      </c>
      <c r="K11" s="822">
        <v>0</v>
      </c>
    </row>
    <row r="12" spans="1:12" s="2" customFormat="1">
      <c r="B12" s="593" t="s">
        <v>144</v>
      </c>
      <c r="C12" s="120" t="str">
        <f>'RFPR cover'!$C$14</f>
        <v>£m 12/13</v>
      </c>
      <c r="D12" s="494">
        <v>0</v>
      </c>
      <c r="E12" s="495">
        <v>0</v>
      </c>
      <c r="F12" s="495">
        <v>-6.7004486977759425</v>
      </c>
      <c r="G12" s="495">
        <v>-1.2120374717908498</v>
      </c>
      <c r="H12" s="495">
        <v>0.74024260706625444</v>
      </c>
      <c r="I12" s="495">
        <v>-0.29831333608173677</v>
      </c>
      <c r="J12" s="500">
        <v>-2.7949769221482046</v>
      </c>
      <c r="K12" s="822">
        <v>0</v>
      </c>
    </row>
    <row r="13" spans="1:12" s="2" customFormat="1">
      <c r="B13" s="593" t="s">
        <v>369</v>
      </c>
      <c r="C13" s="121" t="s">
        <v>124</v>
      </c>
      <c r="D13" s="834">
        <v>1.0820000000000001</v>
      </c>
      <c r="E13" s="835">
        <v>1.087</v>
      </c>
      <c r="F13" s="835">
        <v>1.121</v>
      </c>
      <c r="G13" s="835">
        <v>1.159</v>
      </c>
      <c r="H13" s="835">
        <v>1.198</v>
      </c>
      <c r="I13" s="835">
        <v>1.2170000000000001</v>
      </c>
      <c r="J13" s="504">
        <v>1.238</v>
      </c>
      <c r="K13" s="822">
        <v>0</v>
      </c>
    </row>
    <row r="14" spans="1:12" s="2" customFormat="1">
      <c r="B14" s="593" t="s">
        <v>192</v>
      </c>
      <c r="C14" s="121" t="s">
        <v>125</v>
      </c>
      <c r="D14" s="766">
        <f>SUM(D10:D12)*D13</f>
        <v>329.57720000000006</v>
      </c>
      <c r="E14" s="767">
        <f t="shared" ref="E14:K14" si="1">SUM(E10:E12)*E13</f>
        <v>334.10698772836037</v>
      </c>
      <c r="F14" s="767">
        <f t="shared" si="1"/>
        <v>333.54498579576085</v>
      </c>
      <c r="G14" s="767">
        <f t="shared" si="1"/>
        <v>337.48865738706434</v>
      </c>
      <c r="H14" s="767">
        <f t="shared" si="1"/>
        <v>357.03068078568111</v>
      </c>
      <c r="I14" s="767">
        <f t="shared" si="1"/>
        <v>378.96179734711933</v>
      </c>
      <c r="J14" s="767">
        <f t="shared" si="1"/>
        <v>378.46281857038053</v>
      </c>
      <c r="K14" s="820">
        <f t="shared" si="1"/>
        <v>0</v>
      </c>
    </row>
    <row r="15" spans="1:12" s="2" customFormat="1">
      <c r="B15" s="174" t="s">
        <v>128</v>
      </c>
      <c r="C15" s="121" t="s">
        <v>125</v>
      </c>
      <c r="D15" s="768">
        <f>'R5 - Output Incentives'!D102</f>
        <v>4.696616249999999</v>
      </c>
      <c r="E15" s="769">
        <f>'R5 - Output Incentives'!E102</f>
        <v>7.1620872749999975</v>
      </c>
      <c r="F15" s="770">
        <f>'R5 - Output Incentives'!F102</f>
        <v>11.736138329744584</v>
      </c>
      <c r="G15" s="770">
        <f>'R5 - Output Incentives'!G102</f>
        <v>7.3950439867590561</v>
      </c>
      <c r="H15" s="770">
        <f>'R5 - Output Incentives'!H102</f>
        <v>9.7922032356259123</v>
      </c>
      <c r="I15" s="770">
        <f>'R5 - Output Incentives'!I102</f>
        <v>8.0434740023209734</v>
      </c>
      <c r="J15" s="770">
        <f>'R5 - Output Incentives'!J102</f>
        <v>8.3054638301367447</v>
      </c>
      <c r="K15" s="821">
        <f>'R5 - Output Incentives'!K102</f>
        <v>7.4059329480740503</v>
      </c>
    </row>
    <row r="16" spans="1:12" s="2" customFormat="1">
      <c r="B16" s="593" t="s">
        <v>382</v>
      </c>
      <c r="C16" s="121" t="s">
        <v>125</v>
      </c>
      <c r="D16" s="492">
        <v>0</v>
      </c>
      <c r="E16" s="493">
        <v>0</v>
      </c>
      <c r="F16" s="493">
        <v>-1.6158701416146906</v>
      </c>
      <c r="G16" s="493">
        <v>-1.8374869364804653</v>
      </c>
      <c r="H16" s="493">
        <v>4.9624381359817393</v>
      </c>
      <c r="I16" s="493">
        <v>6.7865620400562614</v>
      </c>
      <c r="J16" s="499">
        <v>8.4443161399567614</v>
      </c>
      <c r="K16" s="822">
        <f>'R6 - Innovation'!K11</f>
        <v>0.1512</v>
      </c>
    </row>
    <row r="17" spans="2:12" s="2" customFormat="1">
      <c r="B17" s="593" t="s">
        <v>131</v>
      </c>
      <c r="C17" s="121" t="s">
        <v>125</v>
      </c>
      <c r="D17" s="768">
        <f>'R6 - Innovation'!D12</f>
        <v>1.4569309694056596</v>
      </c>
      <c r="E17" s="769">
        <f>'R6 - Innovation'!E12</f>
        <v>1.4422429196172319</v>
      </c>
      <c r="F17" s="770">
        <f>'R6 - Innovation'!F12</f>
        <v>1.3053052433692378</v>
      </c>
      <c r="G17" s="770">
        <f>'R6 - Innovation'!G12</f>
        <v>1.3559869960060054</v>
      </c>
      <c r="H17" s="770">
        <f>'R6 - Innovation'!H12</f>
        <v>1.607817917533696</v>
      </c>
      <c r="I17" s="770">
        <f>'R6 - Innovation'!I12</f>
        <v>1.7977894853377601</v>
      </c>
      <c r="J17" s="770">
        <f>'R6 - Innovation'!J12</f>
        <v>1.8923140928519027</v>
      </c>
      <c r="K17" s="821">
        <f>'R6 - Innovation'!K12</f>
        <v>1.3608</v>
      </c>
    </row>
    <row r="18" spans="2:12" s="2" customFormat="1">
      <c r="B18" s="593" t="s">
        <v>130</v>
      </c>
      <c r="C18" s="121" t="s">
        <v>125</v>
      </c>
      <c r="D18" s="768">
        <f>'R6 - Innovation'!D17</f>
        <v>1.0369999999999999</v>
      </c>
      <c r="E18" s="769">
        <f>'R6 - Innovation'!E17</f>
        <v>5.5E-2</v>
      </c>
      <c r="F18" s="770">
        <f>'R6 - Innovation'!F17</f>
        <v>0.159</v>
      </c>
      <c r="G18" s="770">
        <f>'R6 - Innovation'!G17</f>
        <v>0.432</v>
      </c>
      <c r="H18" s="770">
        <f>'R6 - Innovation'!H17</f>
        <v>5.9173440000000001E-2</v>
      </c>
      <c r="I18" s="770">
        <f>'R6 - Innovation'!I17</f>
        <v>-0.159</v>
      </c>
      <c r="J18" s="770">
        <f>'R6 - Innovation'!J17</f>
        <v>3.5000000000000003E-2</v>
      </c>
      <c r="K18" s="821">
        <f>'R6 - Innovation'!K17</f>
        <v>-0.16524950999999999</v>
      </c>
    </row>
    <row r="19" spans="2:12" s="2" customFormat="1">
      <c r="B19" s="819" t="s">
        <v>590</v>
      </c>
      <c r="C19" s="121" t="s">
        <v>125</v>
      </c>
      <c r="D19" s="492">
        <v>0</v>
      </c>
      <c r="E19" s="493">
        <v>0</v>
      </c>
      <c r="F19" s="493">
        <v>0</v>
      </c>
      <c r="G19" s="493">
        <v>0</v>
      </c>
      <c r="H19" s="493">
        <v>0</v>
      </c>
      <c r="I19" s="493">
        <v>0</v>
      </c>
      <c r="J19" s="499">
        <v>0</v>
      </c>
      <c r="K19" s="822">
        <v>0</v>
      </c>
    </row>
    <row r="20" spans="2:12" s="2" customFormat="1">
      <c r="B20" s="819" t="s">
        <v>591</v>
      </c>
      <c r="C20" s="121" t="s">
        <v>125</v>
      </c>
      <c r="D20" s="494">
        <v>0</v>
      </c>
      <c r="E20" s="495">
        <v>0</v>
      </c>
      <c r="F20" s="495">
        <v>0</v>
      </c>
      <c r="G20" s="495">
        <v>0</v>
      </c>
      <c r="H20" s="495">
        <v>0</v>
      </c>
      <c r="I20" s="495">
        <v>0</v>
      </c>
      <c r="J20" s="500">
        <v>0</v>
      </c>
      <c r="K20" s="822">
        <v>0</v>
      </c>
    </row>
    <row r="21" spans="2:12" s="2" customFormat="1">
      <c r="B21" s="819" t="s">
        <v>592</v>
      </c>
      <c r="C21" s="121" t="s">
        <v>125</v>
      </c>
      <c r="D21" s="494">
        <v>0</v>
      </c>
      <c r="E21" s="495">
        <v>0</v>
      </c>
      <c r="F21" s="495">
        <v>0</v>
      </c>
      <c r="G21" s="495">
        <v>0</v>
      </c>
      <c r="H21" s="495">
        <v>0</v>
      </c>
      <c r="I21" s="495">
        <v>0</v>
      </c>
      <c r="J21" s="500">
        <v>0</v>
      </c>
      <c r="K21" s="822">
        <v>0</v>
      </c>
    </row>
    <row r="22" spans="2:12" s="2" customFormat="1">
      <c r="B22" s="819" t="s">
        <v>593</v>
      </c>
      <c r="C22" s="121" t="s">
        <v>125</v>
      </c>
      <c r="D22" s="494">
        <v>5.7523622804703667</v>
      </c>
      <c r="E22" s="495">
        <v>1.1304799999999999</v>
      </c>
      <c r="F22" s="495">
        <v>0</v>
      </c>
      <c r="G22" s="495">
        <v>0</v>
      </c>
      <c r="H22" s="495">
        <v>0</v>
      </c>
      <c r="I22" s="495">
        <v>0</v>
      </c>
      <c r="J22" s="500">
        <v>0</v>
      </c>
      <c r="K22" s="822">
        <v>0</v>
      </c>
    </row>
    <row r="23" spans="2:12" s="2" customFormat="1">
      <c r="B23" s="594" t="s">
        <v>594</v>
      </c>
      <c r="C23" s="121" t="s">
        <v>125</v>
      </c>
      <c r="D23" s="494">
        <v>0</v>
      </c>
      <c r="E23" s="495">
        <v>0</v>
      </c>
      <c r="F23" s="495">
        <v>0</v>
      </c>
      <c r="G23" s="495">
        <v>0</v>
      </c>
      <c r="H23" s="495">
        <v>0</v>
      </c>
      <c r="I23" s="495">
        <v>0</v>
      </c>
      <c r="J23" s="500">
        <v>0</v>
      </c>
      <c r="K23" s="822">
        <v>0</v>
      </c>
    </row>
    <row r="24" spans="2:12" s="2" customFormat="1">
      <c r="B24" s="594" t="s">
        <v>594</v>
      </c>
      <c r="C24" s="121" t="s">
        <v>125</v>
      </c>
      <c r="D24" s="494">
        <v>0</v>
      </c>
      <c r="E24" s="495">
        <v>0</v>
      </c>
      <c r="F24" s="495">
        <v>0</v>
      </c>
      <c r="G24" s="495">
        <v>0</v>
      </c>
      <c r="H24" s="495">
        <v>0</v>
      </c>
      <c r="I24" s="495">
        <v>0</v>
      </c>
      <c r="J24" s="500">
        <v>0</v>
      </c>
      <c r="K24" s="822">
        <v>0</v>
      </c>
    </row>
    <row r="25" spans="2:12" s="2" customFormat="1">
      <c r="B25" s="593" t="s">
        <v>132</v>
      </c>
      <c r="C25" s="121" t="s">
        <v>125</v>
      </c>
      <c r="D25" s="834">
        <v>-17.652290540017976</v>
      </c>
      <c r="E25" s="835">
        <v>0</v>
      </c>
      <c r="F25" s="835">
        <v>10.495883291163839</v>
      </c>
      <c r="G25" s="835">
        <v>-3.275342698980912</v>
      </c>
      <c r="H25" s="835">
        <v>2.6663190332749922</v>
      </c>
      <c r="I25" s="835">
        <v>-10.862373095528717</v>
      </c>
      <c r="J25" s="504">
        <v>18.34310823182846</v>
      </c>
      <c r="K25" s="822">
        <v>0</v>
      </c>
    </row>
    <row r="26" spans="2:12" s="2" customFormat="1">
      <c r="B26" s="764" t="s">
        <v>145</v>
      </c>
      <c r="C26" s="121" t="s">
        <v>125</v>
      </c>
      <c r="D26" s="496">
        <f>SUM(D14:D24,-D25)</f>
        <v>360.17240003989406</v>
      </c>
      <c r="E26" s="497">
        <f t="shared" ref="E26:K26" si="2">SUM(E14:E24,-E25)</f>
        <v>343.89679792297756</v>
      </c>
      <c r="F26" s="497">
        <f t="shared" si="2"/>
        <v>334.6336759360961</v>
      </c>
      <c r="G26" s="497">
        <f t="shared" si="2"/>
        <v>348.10954413232986</v>
      </c>
      <c r="H26" s="497">
        <f t="shared" si="2"/>
        <v>370.78599448154745</v>
      </c>
      <c r="I26" s="497">
        <f t="shared" si="2"/>
        <v>406.29299597036305</v>
      </c>
      <c r="J26" s="497">
        <f t="shared" si="2"/>
        <v>378.79680440149747</v>
      </c>
      <c r="K26" s="823">
        <f t="shared" si="2"/>
        <v>8.7526834380740492</v>
      </c>
    </row>
    <row r="27" spans="2:12" s="2" customFormat="1">
      <c r="B27" s="106"/>
      <c r="C27" s="109"/>
      <c r="D27" s="771"/>
      <c r="E27" s="771"/>
      <c r="F27" s="771"/>
      <c r="G27" s="772"/>
      <c r="H27" s="772"/>
      <c r="I27" s="772"/>
      <c r="J27" s="772"/>
      <c r="K27" s="772"/>
    </row>
    <row r="28" spans="2:12" s="2" customFormat="1">
      <c r="B28" s="106" t="s">
        <v>147</v>
      </c>
      <c r="C28" s="109"/>
      <c r="D28" s="496">
        <f>IF(ISBLANK(D33),0,D33-D26)</f>
        <v>10.104599960105929</v>
      </c>
      <c r="E28" s="497">
        <f t="shared" ref="E28:K28" si="3">IF(ISBLANK(E33),0,E33-E26)</f>
        <v>-3.1577979229775792</v>
      </c>
      <c r="F28" s="497">
        <f t="shared" si="3"/>
        <v>2.5623240639039295</v>
      </c>
      <c r="G28" s="497">
        <f t="shared" si="3"/>
        <v>-10.401609885650146</v>
      </c>
      <c r="H28" s="497">
        <f t="shared" si="3"/>
        <v>17.634302828305579</v>
      </c>
      <c r="I28" s="497">
        <f t="shared" si="3"/>
        <v>-20.118285631696438</v>
      </c>
      <c r="J28" s="497">
        <f t="shared" si="3"/>
        <v>19.602836955835983</v>
      </c>
      <c r="K28" s="498">
        <f t="shared" si="3"/>
        <v>-8.7526834380740492</v>
      </c>
    </row>
    <row r="29" spans="2:12" s="2" customFormat="1">
      <c r="B29" s="106"/>
      <c r="C29" s="109"/>
    </row>
    <row r="30" spans="2:12" s="2" customFormat="1">
      <c r="B30" s="106"/>
      <c r="C30" s="109"/>
    </row>
    <row r="31" spans="2:12" s="2" customFormat="1">
      <c r="B31" s="592" t="s">
        <v>189</v>
      </c>
      <c r="C31" s="119"/>
      <c r="D31" s="63"/>
      <c r="E31" s="63"/>
      <c r="F31" s="63"/>
      <c r="G31" s="63"/>
      <c r="H31" s="63"/>
      <c r="I31" s="63"/>
      <c r="J31" s="63"/>
      <c r="K31" s="63"/>
      <c r="L31" s="64"/>
    </row>
    <row r="32" spans="2:12" s="2" customFormat="1">
      <c r="B32" s="106"/>
      <c r="C32" s="109"/>
    </row>
    <row r="33" spans="2:11" s="2" customFormat="1">
      <c r="B33" s="319" t="s">
        <v>146</v>
      </c>
      <c r="C33" s="109"/>
      <c r="D33" s="508">
        <v>370.27699999999999</v>
      </c>
      <c r="E33" s="509">
        <v>340.73899999999998</v>
      </c>
      <c r="F33" s="509">
        <v>337.19600000000003</v>
      </c>
      <c r="G33" s="509">
        <v>337.70793424667971</v>
      </c>
      <c r="H33" s="509">
        <v>388.42029730985303</v>
      </c>
      <c r="I33" s="509">
        <v>386.17471033866661</v>
      </c>
      <c r="J33" s="510">
        <v>398.39964135733345</v>
      </c>
      <c r="K33" s="822">
        <v>0</v>
      </c>
    </row>
    <row r="34" spans="2:11" s="2" customFormat="1">
      <c r="B34" s="106"/>
      <c r="C34" s="109"/>
    </row>
    <row r="35" spans="2:11" s="2" customFormat="1">
      <c r="B35" s="319" t="s">
        <v>133</v>
      </c>
      <c r="C35" s="109"/>
    </row>
    <row r="36" spans="2:11" s="2" customFormat="1">
      <c r="B36" s="773" t="s">
        <v>134</v>
      </c>
      <c r="C36" s="121" t="s">
        <v>125</v>
      </c>
      <c r="D36" s="492">
        <v>0</v>
      </c>
      <c r="E36" s="493">
        <v>0</v>
      </c>
      <c r="F36" s="493">
        <v>0</v>
      </c>
      <c r="G36" s="493">
        <v>0</v>
      </c>
      <c r="H36" s="493">
        <v>0</v>
      </c>
      <c r="I36" s="493">
        <v>0</v>
      </c>
      <c r="J36" s="499">
        <v>0</v>
      </c>
      <c r="K36" s="822">
        <v>0</v>
      </c>
    </row>
    <row r="37" spans="2:11" s="2" customFormat="1">
      <c r="B37" s="773" t="s">
        <v>135</v>
      </c>
      <c r="C37" s="121" t="s">
        <v>125</v>
      </c>
      <c r="D37" s="494">
        <v>1.4490000000000001</v>
      </c>
      <c r="E37" s="495">
        <v>1.4319999999999999</v>
      </c>
      <c r="F37" s="495">
        <v>1.278</v>
      </c>
      <c r="G37" s="495">
        <v>1.153</v>
      </c>
      <c r="H37" s="495">
        <v>1.042</v>
      </c>
      <c r="I37" s="495">
        <v>0.97899999999999998</v>
      </c>
      <c r="J37" s="500">
        <v>0.88400000000000001</v>
      </c>
      <c r="K37" s="822">
        <v>0</v>
      </c>
    </row>
    <row r="38" spans="2:11" s="2" customFormat="1">
      <c r="B38" s="773" t="s">
        <v>136</v>
      </c>
      <c r="C38" s="121" t="s">
        <v>125</v>
      </c>
      <c r="D38" s="494">
        <v>47.306663674719999</v>
      </c>
      <c r="E38" s="495">
        <v>49.755604156285628</v>
      </c>
      <c r="F38" s="495">
        <v>62.443643163333498</v>
      </c>
      <c r="G38" s="495">
        <v>33.625091915555551</v>
      </c>
      <c r="H38" s="495">
        <v>35.698071147541157</v>
      </c>
      <c r="I38" s="495">
        <v>39.430542905257113</v>
      </c>
      <c r="J38" s="500">
        <v>37.831698540424284</v>
      </c>
      <c r="K38" s="822">
        <v>0</v>
      </c>
    </row>
    <row r="39" spans="2:11" s="2" customFormat="1">
      <c r="B39" s="773" t="s">
        <v>137</v>
      </c>
      <c r="C39" s="121" t="s">
        <v>125</v>
      </c>
      <c r="D39" s="494">
        <v>0</v>
      </c>
      <c r="E39" s="495">
        <v>0</v>
      </c>
      <c r="F39" s="495">
        <v>0</v>
      </c>
      <c r="G39" s="495">
        <v>0</v>
      </c>
      <c r="H39" s="495">
        <v>0</v>
      </c>
      <c r="I39" s="495">
        <v>0</v>
      </c>
      <c r="J39" s="500">
        <v>0</v>
      </c>
      <c r="K39" s="822">
        <v>0</v>
      </c>
    </row>
    <row r="40" spans="2:11" s="2" customFormat="1">
      <c r="B40" s="773" t="s">
        <v>138</v>
      </c>
      <c r="C40" s="121" t="s">
        <v>125</v>
      </c>
      <c r="D40" s="494">
        <v>0</v>
      </c>
      <c r="E40" s="495">
        <v>0</v>
      </c>
      <c r="F40" s="495">
        <v>0</v>
      </c>
      <c r="G40" s="495">
        <v>0</v>
      </c>
      <c r="H40" s="495">
        <v>0</v>
      </c>
      <c r="I40" s="495">
        <v>0</v>
      </c>
      <c r="J40" s="500">
        <v>0</v>
      </c>
      <c r="K40" s="822">
        <v>0</v>
      </c>
    </row>
    <row r="41" spans="2:11" s="2" customFormat="1">
      <c r="B41" s="773" t="s">
        <v>139</v>
      </c>
      <c r="C41" s="121" t="s">
        <v>125</v>
      </c>
      <c r="D41" s="494">
        <v>0.33133630000000003</v>
      </c>
      <c r="E41" s="495">
        <v>0.27021433</v>
      </c>
      <c r="F41" s="495">
        <v>0.16259973999999999</v>
      </c>
      <c r="G41" s="495">
        <v>0</v>
      </c>
      <c r="H41" s="495">
        <v>0.24784468000000001</v>
      </c>
      <c r="I41" s="495">
        <v>0.10356586999999999</v>
      </c>
      <c r="J41" s="500">
        <v>0.56588587999999995</v>
      </c>
      <c r="K41" s="822">
        <v>0</v>
      </c>
    </row>
    <row r="42" spans="2:11" s="2" customFormat="1">
      <c r="B42" s="773" t="s">
        <v>140</v>
      </c>
      <c r="C42" s="121" t="s">
        <v>125</v>
      </c>
      <c r="D42" s="494">
        <v>0</v>
      </c>
      <c r="E42" s="495">
        <v>0</v>
      </c>
      <c r="F42" s="495">
        <v>0</v>
      </c>
      <c r="G42" s="495">
        <v>0</v>
      </c>
      <c r="H42" s="495">
        <v>0</v>
      </c>
      <c r="I42" s="495">
        <v>0</v>
      </c>
      <c r="J42" s="500">
        <v>0</v>
      </c>
      <c r="K42" s="822">
        <v>0</v>
      </c>
    </row>
    <row r="43" spans="2:11" s="2" customFormat="1">
      <c r="B43" s="664" t="s">
        <v>141</v>
      </c>
      <c r="C43" s="121" t="s">
        <v>125</v>
      </c>
      <c r="D43" s="494">
        <v>0</v>
      </c>
      <c r="E43" s="495">
        <v>0</v>
      </c>
      <c r="F43" s="495">
        <v>0</v>
      </c>
      <c r="G43" s="495">
        <v>0</v>
      </c>
      <c r="H43" s="495">
        <v>0</v>
      </c>
      <c r="I43" s="495">
        <v>0</v>
      </c>
      <c r="J43" s="500">
        <v>0</v>
      </c>
      <c r="K43" s="822">
        <v>0</v>
      </c>
    </row>
    <row r="44" spans="2:11" s="2" customFormat="1">
      <c r="B44" s="594" t="s">
        <v>595</v>
      </c>
      <c r="C44" s="121" t="s">
        <v>125</v>
      </c>
      <c r="D44" s="834">
        <v>0</v>
      </c>
      <c r="E44" s="835">
        <v>0</v>
      </c>
      <c r="F44" s="835">
        <v>0</v>
      </c>
      <c r="G44" s="835">
        <v>0</v>
      </c>
      <c r="H44" s="835">
        <v>0</v>
      </c>
      <c r="I44" s="835">
        <v>0</v>
      </c>
      <c r="J44" s="504">
        <v>0</v>
      </c>
      <c r="K44" s="822">
        <v>0</v>
      </c>
    </row>
    <row r="45" spans="2:11" s="2" customFormat="1">
      <c r="B45" s="319" t="s">
        <v>172</v>
      </c>
      <c r="C45" s="121" t="s">
        <v>125</v>
      </c>
      <c r="D45" s="501">
        <f>SUM(D36:D44)</f>
        <v>49.086999974719994</v>
      </c>
      <c r="E45" s="502">
        <f t="shared" ref="E45:K45" si="4">SUM(E36:E44)</f>
        <v>51.457818486285632</v>
      </c>
      <c r="F45" s="502">
        <f t="shared" si="4"/>
        <v>63.884242903333494</v>
      </c>
      <c r="G45" s="502">
        <f t="shared" si="4"/>
        <v>34.778091915555549</v>
      </c>
      <c r="H45" s="502">
        <f t="shared" si="4"/>
        <v>36.987915827541158</v>
      </c>
      <c r="I45" s="502">
        <f t="shared" si="4"/>
        <v>40.513108775257109</v>
      </c>
      <c r="J45" s="502">
        <f t="shared" si="4"/>
        <v>39.281584420424288</v>
      </c>
      <c r="K45" s="503">
        <f t="shared" si="4"/>
        <v>0</v>
      </c>
    </row>
    <row r="46" spans="2:11" s="2" customFormat="1">
      <c r="B46" s="106"/>
      <c r="C46" s="109"/>
    </row>
    <row r="47" spans="2:11" s="2" customFormat="1">
      <c r="B47" s="319" t="s">
        <v>142</v>
      </c>
      <c r="C47" s="109"/>
    </row>
    <row r="48" spans="2:11" s="2" customFormat="1">
      <c r="B48" s="819" t="s">
        <v>596</v>
      </c>
      <c r="C48" s="121" t="s">
        <v>125</v>
      </c>
      <c r="D48" s="492">
        <v>-9.2050000000000001</v>
      </c>
      <c r="E48" s="493">
        <v>-7.6580000000000004</v>
      </c>
      <c r="F48" s="493">
        <v>-9.4949999999999992</v>
      </c>
      <c r="G48" s="493">
        <v>-4.9537095200000048</v>
      </c>
      <c r="H48" s="493">
        <v>-6.4287116699999656</v>
      </c>
      <c r="I48" s="493">
        <v>-7.7533912799999829</v>
      </c>
      <c r="J48" s="499">
        <v>-6.965004109999966</v>
      </c>
      <c r="K48" s="822">
        <v>0</v>
      </c>
    </row>
    <row r="49" spans="2:11" s="2" customFormat="1">
      <c r="B49" s="819" t="s">
        <v>597</v>
      </c>
      <c r="C49" s="121" t="s">
        <v>125</v>
      </c>
      <c r="D49" s="494">
        <v>-0.33100000000000002</v>
      </c>
      <c r="E49" s="495">
        <v>-0.27</v>
      </c>
      <c r="F49" s="495">
        <v>-0.16300000000000001</v>
      </c>
      <c r="G49" s="495">
        <v>0</v>
      </c>
      <c r="H49" s="495">
        <v>-0.24784468000000001</v>
      </c>
      <c r="I49" s="495">
        <v>-0.10356586999999999</v>
      </c>
      <c r="J49" s="500">
        <v>-0.56588587999999995</v>
      </c>
      <c r="K49" s="822">
        <v>0</v>
      </c>
    </row>
    <row r="50" spans="2:11" s="2" customFormat="1">
      <c r="B50" s="819" t="s">
        <v>598</v>
      </c>
      <c r="C50" s="121" t="s">
        <v>125</v>
      </c>
      <c r="D50" s="494">
        <v>-30.355742344719999</v>
      </c>
      <c r="E50" s="495">
        <v>-35.536000000000001</v>
      </c>
      <c r="F50" s="495">
        <v>-47.157000300000036</v>
      </c>
      <c r="G50" s="495">
        <v>-23.890145439999991</v>
      </c>
      <c r="H50" s="495">
        <v>-24.878350801985636</v>
      </c>
      <c r="I50" s="495">
        <v>-27.632001023923799</v>
      </c>
      <c r="J50" s="500">
        <v>-27.216258577757653</v>
      </c>
      <c r="K50" s="822">
        <v>0</v>
      </c>
    </row>
    <row r="51" spans="2:11" s="2" customFormat="1">
      <c r="B51" s="819" t="s">
        <v>599</v>
      </c>
      <c r="C51" s="121" t="s">
        <v>125</v>
      </c>
      <c r="D51" s="494">
        <v>0</v>
      </c>
      <c r="E51" s="495">
        <v>0</v>
      </c>
      <c r="F51" s="495">
        <v>0</v>
      </c>
      <c r="G51" s="495">
        <v>14.45256627</v>
      </c>
      <c r="H51" s="495">
        <v>16.225126499999998</v>
      </c>
      <c r="I51" s="495">
        <v>16.447740500000005</v>
      </c>
      <c r="J51" s="500">
        <v>16.837009690000002</v>
      </c>
      <c r="K51" s="822">
        <v>0</v>
      </c>
    </row>
    <row r="52" spans="2:11" s="2" customFormat="1">
      <c r="B52" s="819" t="s">
        <v>600</v>
      </c>
      <c r="C52" s="121" t="s">
        <v>125</v>
      </c>
      <c r="D52" s="494">
        <v>0</v>
      </c>
      <c r="E52" s="495">
        <v>0</v>
      </c>
      <c r="F52" s="495">
        <v>0</v>
      </c>
      <c r="G52" s="495">
        <v>0.40590012776470519</v>
      </c>
      <c r="H52" s="495">
        <v>0.40765082459130375</v>
      </c>
      <c r="I52" s="495">
        <v>0</v>
      </c>
      <c r="J52" s="500">
        <v>0</v>
      </c>
      <c r="K52" s="822">
        <v>0</v>
      </c>
    </row>
    <row r="53" spans="2:11" s="2" customFormat="1">
      <c r="B53" s="594" t="s">
        <v>594</v>
      </c>
      <c r="C53" s="121" t="s">
        <v>125</v>
      </c>
      <c r="D53" s="494">
        <v>0</v>
      </c>
      <c r="E53" s="495">
        <v>0</v>
      </c>
      <c r="F53" s="495">
        <v>0</v>
      </c>
      <c r="G53" s="495">
        <v>0</v>
      </c>
      <c r="H53" s="495">
        <v>0</v>
      </c>
      <c r="I53" s="495">
        <v>0</v>
      </c>
      <c r="J53" s="500">
        <v>0</v>
      </c>
      <c r="K53" s="822">
        <v>0</v>
      </c>
    </row>
    <row r="54" spans="2:11" s="2" customFormat="1">
      <c r="B54" s="594" t="s">
        <v>594</v>
      </c>
      <c r="C54" s="121" t="s">
        <v>125</v>
      </c>
      <c r="D54" s="494">
        <v>0</v>
      </c>
      <c r="E54" s="495">
        <v>0</v>
      </c>
      <c r="F54" s="495">
        <v>0</v>
      </c>
      <c r="G54" s="495">
        <v>0</v>
      </c>
      <c r="H54" s="495">
        <v>0</v>
      </c>
      <c r="I54" s="495">
        <v>0</v>
      </c>
      <c r="J54" s="500">
        <v>0</v>
      </c>
      <c r="K54" s="822">
        <v>0</v>
      </c>
    </row>
    <row r="55" spans="2:11" s="2" customFormat="1">
      <c r="B55" s="594" t="s">
        <v>594</v>
      </c>
      <c r="C55" s="121" t="s">
        <v>125</v>
      </c>
      <c r="D55" s="494">
        <v>0</v>
      </c>
      <c r="E55" s="495">
        <v>0</v>
      </c>
      <c r="F55" s="495">
        <v>0</v>
      </c>
      <c r="G55" s="495">
        <v>0</v>
      </c>
      <c r="H55" s="495">
        <v>0</v>
      </c>
      <c r="I55" s="495">
        <v>0</v>
      </c>
      <c r="J55" s="500">
        <v>0</v>
      </c>
      <c r="K55" s="822">
        <v>0</v>
      </c>
    </row>
    <row r="56" spans="2:11" s="2" customFormat="1">
      <c r="B56" s="594" t="s">
        <v>594</v>
      </c>
      <c r="C56" s="121" t="s">
        <v>125</v>
      </c>
      <c r="D56" s="494">
        <v>0</v>
      </c>
      <c r="E56" s="495">
        <v>0</v>
      </c>
      <c r="F56" s="495">
        <v>0</v>
      </c>
      <c r="G56" s="495">
        <v>0</v>
      </c>
      <c r="H56" s="495">
        <v>0</v>
      </c>
      <c r="I56" s="495">
        <v>0</v>
      </c>
      <c r="J56" s="500">
        <v>0</v>
      </c>
      <c r="K56" s="822">
        <v>0</v>
      </c>
    </row>
    <row r="57" spans="2:11" s="2" customFormat="1">
      <c r="B57" s="594" t="s">
        <v>594</v>
      </c>
      <c r="C57" s="121" t="s">
        <v>125</v>
      </c>
      <c r="D57" s="494">
        <v>0</v>
      </c>
      <c r="E57" s="495">
        <v>0</v>
      </c>
      <c r="F57" s="495">
        <v>0</v>
      </c>
      <c r="G57" s="495">
        <v>0</v>
      </c>
      <c r="H57" s="495">
        <v>0</v>
      </c>
      <c r="I57" s="495">
        <v>0</v>
      </c>
      <c r="J57" s="500">
        <v>0</v>
      </c>
      <c r="K57" s="822">
        <v>0</v>
      </c>
    </row>
    <row r="58" spans="2:11" s="2" customFormat="1">
      <c r="B58" s="594" t="s">
        <v>594</v>
      </c>
      <c r="C58" s="121" t="s">
        <v>125</v>
      </c>
      <c r="D58" s="494">
        <v>0</v>
      </c>
      <c r="E58" s="495">
        <v>0</v>
      </c>
      <c r="F58" s="495">
        <v>0</v>
      </c>
      <c r="G58" s="495">
        <v>0</v>
      </c>
      <c r="H58" s="495">
        <v>0</v>
      </c>
      <c r="I58" s="495">
        <v>0</v>
      </c>
      <c r="J58" s="500">
        <v>0</v>
      </c>
      <c r="K58" s="822">
        <v>0</v>
      </c>
    </row>
    <row r="59" spans="2:11" s="2" customFormat="1">
      <c r="B59" s="594" t="s">
        <v>594</v>
      </c>
      <c r="C59" s="121" t="s">
        <v>125</v>
      </c>
      <c r="D59" s="494">
        <v>0</v>
      </c>
      <c r="E59" s="495">
        <v>0</v>
      </c>
      <c r="F59" s="495">
        <v>0</v>
      </c>
      <c r="G59" s="495">
        <v>0</v>
      </c>
      <c r="H59" s="495">
        <v>0</v>
      </c>
      <c r="I59" s="495">
        <v>0</v>
      </c>
      <c r="J59" s="500">
        <v>0</v>
      </c>
      <c r="K59" s="822">
        <v>0</v>
      </c>
    </row>
    <row r="60" spans="2:11" s="2" customFormat="1">
      <c r="B60" s="594" t="s">
        <v>594</v>
      </c>
      <c r="C60" s="121" t="s">
        <v>125</v>
      </c>
      <c r="D60" s="494">
        <v>0</v>
      </c>
      <c r="E60" s="495">
        <v>0</v>
      </c>
      <c r="F60" s="495">
        <v>0</v>
      </c>
      <c r="G60" s="495">
        <v>0</v>
      </c>
      <c r="H60" s="495">
        <v>0</v>
      </c>
      <c r="I60" s="495">
        <v>0</v>
      </c>
      <c r="J60" s="500">
        <v>0</v>
      </c>
      <c r="K60" s="822">
        <v>0</v>
      </c>
    </row>
    <row r="61" spans="2:11" s="2" customFormat="1">
      <c r="B61" s="594" t="s">
        <v>594</v>
      </c>
      <c r="C61" s="121" t="s">
        <v>125</v>
      </c>
      <c r="D61" s="494">
        <v>0</v>
      </c>
      <c r="E61" s="495">
        <v>0</v>
      </c>
      <c r="F61" s="495">
        <v>0</v>
      </c>
      <c r="G61" s="495">
        <v>0</v>
      </c>
      <c r="H61" s="495">
        <v>0</v>
      </c>
      <c r="I61" s="495">
        <v>0</v>
      </c>
      <c r="J61" s="500">
        <v>0</v>
      </c>
      <c r="K61" s="822">
        <v>0</v>
      </c>
    </row>
    <row r="62" spans="2:11" s="2" customFormat="1">
      <c r="B62" s="594" t="s">
        <v>594</v>
      </c>
      <c r="C62" s="121" t="s">
        <v>125</v>
      </c>
      <c r="D62" s="494">
        <v>0</v>
      </c>
      <c r="E62" s="495">
        <v>0</v>
      </c>
      <c r="F62" s="495">
        <v>0</v>
      </c>
      <c r="G62" s="495">
        <v>0</v>
      </c>
      <c r="H62" s="495">
        <v>0</v>
      </c>
      <c r="I62" s="495">
        <v>0</v>
      </c>
      <c r="J62" s="500">
        <v>0</v>
      </c>
      <c r="K62" s="822">
        <v>0</v>
      </c>
    </row>
    <row r="63" spans="2:11" s="2" customFormat="1">
      <c r="B63" s="594" t="s">
        <v>601</v>
      </c>
      <c r="C63" s="121" t="s">
        <v>125</v>
      </c>
      <c r="D63" s="834">
        <v>0</v>
      </c>
      <c r="E63" s="835">
        <v>0</v>
      </c>
      <c r="F63" s="835">
        <v>0</v>
      </c>
      <c r="G63" s="835">
        <v>0</v>
      </c>
      <c r="H63" s="835">
        <v>0</v>
      </c>
      <c r="I63" s="835">
        <v>0</v>
      </c>
      <c r="J63" s="504">
        <v>0</v>
      </c>
      <c r="K63" s="822">
        <v>0</v>
      </c>
    </row>
    <row r="64" spans="2:11" s="2" customFormat="1">
      <c r="B64" s="319" t="s">
        <v>173</v>
      </c>
      <c r="C64" s="121" t="s">
        <v>125</v>
      </c>
      <c r="D64" s="496">
        <f t="shared" ref="D64:K64" si="5">SUM(D48:D63)</f>
        <v>-39.891742344720001</v>
      </c>
      <c r="E64" s="497">
        <f t="shared" si="5"/>
        <v>-43.463999999999999</v>
      </c>
      <c r="F64" s="497">
        <f t="shared" si="5"/>
        <v>-56.815000300000037</v>
      </c>
      <c r="G64" s="497">
        <f t="shared" si="5"/>
        <v>-13.98538856223529</v>
      </c>
      <c r="H64" s="497">
        <f t="shared" si="5"/>
        <v>-14.922129827394301</v>
      </c>
      <c r="I64" s="497">
        <f t="shared" si="5"/>
        <v>-19.041217673923779</v>
      </c>
      <c r="J64" s="497">
        <f t="shared" si="5"/>
        <v>-17.910138877757618</v>
      </c>
      <c r="K64" s="823">
        <f t="shared" si="5"/>
        <v>0</v>
      </c>
    </row>
    <row r="65" spans="1:12" s="2" customFormat="1">
      <c r="B65" s="106"/>
      <c r="C65" s="109"/>
      <c r="D65" s="774"/>
      <c r="E65" s="774"/>
      <c r="F65" s="774"/>
      <c r="G65" s="774"/>
      <c r="H65" s="774"/>
      <c r="I65" s="774"/>
      <c r="J65" s="774"/>
      <c r="K65" s="774"/>
    </row>
    <row r="66" spans="1:12" s="2" customFormat="1">
      <c r="B66" s="319" t="s">
        <v>143</v>
      </c>
      <c r="C66" s="121" t="s">
        <v>125</v>
      </c>
      <c r="D66" s="775">
        <f t="shared" ref="D66:K66" si="6">D33+D45+D64</f>
        <v>379.47225763</v>
      </c>
      <c r="E66" s="776">
        <f t="shared" si="6"/>
        <v>348.73281848628562</v>
      </c>
      <c r="F66" s="776">
        <f t="shared" si="6"/>
        <v>344.26524260333349</v>
      </c>
      <c r="G66" s="776">
        <f t="shared" si="6"/>
        <v>358.50063759999995</v>
      </c>
      <c r="H66" s="776">
        <f t="shared" si="6"/>
        <v>410.48608330999986</v>
      </c>
      <c r="I66" s="776">
        <f t="shared" si="6"/>
        <v>407.64660143999998</v>
      </c>
      <c r="J66" s="776">
        <f t="shared" si="6"/>
        <v>419.77108690000011</v>
      </c>
      <c r="K66" s="777">
        <f t="shared" si="6"/>
        <v>0</v>
      </c>
    </row>
    <row r="67" spans="1:12" s="2" customFormat="1">
      <c r="B67" s="319" t="s">
        <v>190</v>
      </c>
      <c r="C67" s="121" t="s">
        <v>125</v>
      </c>
      <c r="D67" s="508">
        <v>379.5</v>
      </c>
      <c r="E67" s="509">
        <v>348.7</v>
      </c>
      <c r="F67" s="509">
        <v>344.3</v>
      </c>
      <c r="G67" s="509">
        <v>358.5</v>
      </c>
      <c r="H67" s="509">
        <v>410.48645480999988</v>
      </c>
      <c r="I67" s="509">
        <v>407.64694699999995</v>
      </c>
      <c r="J67" s="510">
        <v>419.7718014300001</v>
      </c>
      <c r="K67" s="822">
        <v>0</v>
      </c>
    </row>
    <row r="68" spans="1:12" s="2" customFormat="1">
      <c r="B68" s="106" t="s">
        <v>119</v>
      </c>
      <c r="C68" s="109"/>
      <c r="D68" s="778" t="str">
        <f>IF(ABS(D66-D67)&lt;'RFPR cover'!$F$14,"OK","Error")</f>
        <v>OK</v>
      </c>
      <c r="E68" s="836" t="str">
        <f>IF(ABS(E66-E67)&lt;'RFPR cover'!$F$14,"OK","Error")</f>
        <v>OK</v>
      </c>
      <c r="F68" s="836" t="str">
        <f>IF(ABS(F66-F67)&lt;'RFPR cover'!$F$14,"OK","Error")</f>
        <v>OK</v>
      </c>
      <c r="G68" s="836" t="str">
        <f>IF(ABS(G66-G67)&lt;'RFPR cover'!$F$14,"OK","Error")</f>
        <v>OK</v>
      </c>
      <c r="H68" s="836" t="str">
        <f>IF(ABS(H66-H67)&lt;'RFPR cover'!$F$14,"OK","Error")</f>
        <v>OK</v>
      </c>
      <c r="I68" s="836" t="str">
        <f>IF(ABS(I66-I67)&lt;'RFPR cover'!$F$14,"OK","Error")</f>
        <v>OK</v>
      </c>
      <c r="J68" s="836" t="str">
        <f>IF(ABS(J66-J67)&lt;'RFPR cover'!$F$14,"OK","Error")</f>
        <v>OK</v>
      </c>
      <c r="K68" s="837" t="str">
        <f>IF(ABS(K66-K67)&lt;'RFPR cover'!$F$14,"OK","Error")</f>
        <v>OK</v>
      </c>
    </row>
    <row r="69" spans="1:12" s="2" customFormat="1">
      <c r="B69" s="106"/>
      <c r="C69" s="109"/>
      <c r="D69" s="779"/>
      <c r="E69" s="779"/>
      <c r="F69" s="779"/>
      <c r="G69" s="779"/>
      <c r="H69" s="779"/>
      <c r="I69" s="779"/>
      <c r="J69" s="779"/>
      <c r="K69" s="779"/>
    </row>
    <row r="70" spans="1:12" s="2" customFormat="1">
      <c r="B70" s="106"/>
      <c r="C70" s="109"/>
    </row>
    <row r="71" spans="1:12" s="2" customFormat="1">
      <c r="A71" s="63"/>
      <c r="B71" s="595"/>
      <c r="C71" s="119"/>
      <c r="D71" s="63"/>
      <c r="E71" s="63"/>
      <c r="F71" s="63"/>
      <c r="G71" s="63"/>
      <c r="H71" s="63"/>
      <c r="I71" s="63"/>
      <c r="J71" s="63"/>
      <c r="K71" s="63"/>
      <c r="L71" s="63"/>
    </row>
  </sheetData>
  <conditionalFormatting sqref="D6:K6">
    <cfRule type="expression" dxfId="94" priority="12">
      <formula>AND(D$5="Actuals",E$5="Forecast")</formula>
    </cfRule>
  </conditionalFormatting>
  <conditionalFormatting sqref="D5:K5">
    <cfRule type="expression" dxfId="93" priority="11">
      <formula>AND(D$5="Actuals",E$5="Forecast")</formula>
    </cfRule>
  </conditionalFormatting>
  <conditionalFormatting sqref="D68:K68">
    <cfRule type="expression" dxfId="92" priority="10">
      <formula>D$5="Forecast"</formula>
    </cfRule>
  </conditionalFormatting>
  <conditionalFormatting sqref="D28:H28">
    <cfRule type="expression" dxfId="91" priority="6">
      <formula>D$5="Forecast"</formula>
    </cfRule>
  </conditionalFormatting>
  <conditionalFormatting sqref="I14:K15 I28:K28 I17:K18 I26:K26">
    <cfRule type="expression" dxfId="90" priority="5">
      <formula>I$5="Forecast"</formula>
    </cfRule>
  </conditionalFormatting>
  <conditionalFormatting sqref="H14:H15 H17:H18 H26">
    <cfRule type="expression" dxfId="89" priority="4">
      <formula>H$5="Forecast"</formula>
    </cfRule>
  </conditionalFormatting>
  <conditionalFormatting sqref="G14:G15 G17:G18 G26">
    <cfRule type="expression" dxfId="88" priority="3">
      <formula>G$5="Forecast"</formula>
    </cfRule>
  </conditionalFormatting>
  <conditionalFormatting sqref="D45:K45">
    <cfRule type="expression" dxfId="87" priority="2">
      <formula>D$5="Forecast"</formula>
    </cfRule>
  </conditionalFormatting>
  <conditionalFormatting sqref="D64:K64 D66:K66">
    <cfRule type="expression" dxfId="86" priority="1">
      <formula>D$5="Forecast"</formula>
    </cfRule>
  </conditionalFormatting>
  <pageMargins left="0.70866141732283472" right="0.70866141732283472" top="0.74803149606299213" bottom="0.74803149606299213" header="0.31496062992125984" footer="0.31496062992125984"/>
  <pageSetup paperSize="8" scale="94" fitToHeight="2" orientation="landscape"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73"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4.5" customWidth="1"/>
    <col min="3" max="3" width="13.375" style="109" customWidth="1"/>
    <col min="4" max="11" width="11.125" customWidth="1"/>
    <col min="12" max="12" width="5" customWidth="1"/>
  </cols>
  <sheetData>
    <row r="1" spans="1:12" ht="20.25">
      <c r="A1" s="698" t="s">
        <v>304</v>
      </c>
      <c r="B1" s="753"/>
      <c r="C1" s="218"/>
      <c r="D1" s="217"/>
      <c r="E1" s="217"/>
      <c r="F1" s="217"/>
      <c r="G1" s="217"/>
      <c r="H1" s="217"/>
      <c r="I1" s="217"/>
      <c r="J1" s="217"/>
      <c r="K1" s="217"/>
      <c r="L1" s="754"/>
    </row>
    <row r="2" spans="1:12" ht="20.25">
      <c r="A2" s="674" t="str">
        <f>'RFPR cover'!C5</f>
        <v>SPMW</v>
      </c>
      <c r="B2" s="702"/>
      <c r="C2" s="755"/>
      <c r="D2" s="703"/>
      <c r="E2" s="703"/>
      <c r="F2" s="703"/>
      <c r="G2" s="703"/>
      <c r="H2" s="703"/>
      <c r="I2" s="704"/>
      <c r="J2" s="704"/>
      <c r="K2" s="704"/>
      <c r="L2" s="705"/>
    </row>
    <row r="3" spans="1:12" ht="20.25">
      <c r="A3" s="677">
        <f>'RFPR cover'!C7</f>
        <v>2022</v>
      </c>
      <c r="B3" s="684"/>
      <c r="C3" s="219"/>
      <c r="D3" s="212"/>
      <c r="E3" s="212"/>
      <c r="F3" s="212"/>
      <c r="G3" s="212"/>
      <c r="H3" s="212"/>
      <c r="I3" s="707"/>
      <c r="J3" s="707"/>
      <c r="K3" s="707"/>
      <c r="L3" s="708"/>
    </row>
    <row r="4" spans="1:12" s="2" customFormat="1" ht="12.75" customHeight="1">
      <c r="C4" s="109"/>
    </row>
    <row r="5" spans="1:12" s="2" customFormat="1">
      <c r="B5" s="3"/>
      <c r="C5" s="109"/>
      <c r="D5" s="709" t="str">
        <f>IF(D6&lt;='RFPR cover'!$C$7,"Actuals","N/A")</f>
        <v>Actuals</v>
      </c>
      <c r="E5" s="710" t="str">
        <f>IF(E6&lt;='RFPR cover'!$C$7,"Actuals","N/A")</f>
        <v>Actuals</v>
      </c>
      <c r="F5" s="710" t="str">
        <f>IF(F6&lt;='RFPR cover'!$C$7,"Actuals","N/A")</f>
        <v>Actuals</v>
      </c>
      <c r="G5" s="710" t="str">
        <f>IF(G6&lt;='RFPR cover'!$C$7,"Actuals","N/A")</f>
        <v>Actuals</v>
      </c>
      <c r="H5" s="710" t="str">
        <f>IF(H6&lt;='RFPR cover'!$C$7,"Actuals","N/A")</f>
        <v>Actuals</v>
      </c>
      <c r="I5" s="710" t="str">
        <f>IF(I6&lt;='RFPR cover'!$C$7,"Actuals","N/A")</f>
        <v>Actuals</v>
      </c>
      <c r="J5" s="710" t="str">
        <f>IF(J6&lt;='RFPR cover'!$C$7,"Actuals","N/A")</f>
        <v>Actuals</v>
      </c>
      <c r="K5" s="711" t="str">
        <f>IF(K6&lt;='RFPR cover'!$C$7,"Actuals","N/A")</f>
        <v>N/A</v>
      </c>
    </row>
    <row r="6" spans="1:12" s="2" customFormat="1">
      <c r="C6" s="109"/>
      <c r="D6" s="99">
        <f>'RFPR cover'!$C$13</f>
        <v>2016</v>
      </c>
      <c r="E6" s="100">
        <f>D6+1</f>
        <v>2017</v>
      </c>
      <c r="F6" s="100">
        <f t="shared" ref="F6:K6" si="0">E6+1</f>
        <v>2018</v>
      </c>
      <c r="G6" s="100">
        <f t="shared" si="0"/>
        <v>2019</v>
      </c>
      <c r="H6" s="100">
        <f t="shared" si="0"/>
        <v>2020</v>
      </c>
      <c r="I6" s="100">
        <f t="shared" si="0"/>
        <v>2021</v>
      </c>
      <c r="J6" s="100">
        <f t="shared" si="0"/>
        <v>2022</v>
      </c>
      <c r="K6" s="157">
        <f t="shared" si="0"/>
        <v>2023</v>
      </c>
    </row>
    <row r="7" spans="1:12" s="2" customFormat="1">
      <c r="C7" s="109"/>
    </row>
    <row r="8" spans="1:12" s="2" customFormat="1">
      <c r="B8" s="12" t="s">
        <v>310</v>
      </c>
      <c r="C8" s="122"/>
      <c r="D8" s="12"/>
      <c r="E8" s="12"/>
      <c r="F8" s="12"/>
      <c r="G8" s="12"/>
      <c r="H8" s="12"/>
      <c r="I8" s="12"/>
      <c r="J8" s="12"/>
      <c r="K8" s="12"/>
    </row>
    <row r="9" spans="1:12" s="2" customFormat="1">
      <c r="B9" s="106" t="s">
        <v>156</v>
      </c>
      <c r="C9" s="121" t="s">
        <v>125</v>
      </c>
      <c r="D9" s="492">
        <v>217.10000000000011</v>
      </c>
      <c r="E9" s="493">
        <v>218.2</v>
      </c>
      <c r="F9" s="493">
        <v>239.49999999999989</v>
      </c>
      <c r="G9" s="493">
        <v>242.1</v>
      </c>
      <c r="H9" s="493">
        <v>290.00000000000011</v>
      </c>
      <c r="I9" s="493">
        <v>265.60000000000025</v>
      </c>
      <c r="J9" s="493">
        <v>268.89999999999964</v>
      </c>
      <c r="K9" s="499"/>
    </row>
    <row r="10" spans="1:12" s="2" customFormat="1">
      <c r="B10" s="106" t="s">
        <v>157</v>
      </c>
      <c r="C10" s="121" t="s">
        <v>125</v>
      </c>
      <c r="D10" s="494">
        <v>0</v>
      </c>
      <c r="E10" s="495">
        <v>0</v>
      </c>
      <c r="F10" s="495">
        <v>0</v>
      </c>
      <c r="G10" s="495">
        <v>0</v>
      </c>
      <c r="H10" s="495">
        <v>0</v>
      </c>
      <c r="I10" s="495">
        <v>0</v>
      </c>
      <c r="J10" s="495">
        <v>0.2</v>
      </c>
      <c r="K10" s="500"/>
    </row>
    <row r="11" spans="1:12" s="2" customFormat="1" ht="29.25" customHeight="1">
      <c r="B11" s="107" t="s">
        <v>449</v>
      </c>
      <c r="C11" s="121" t="s">
        <v>125</v>
      </c>
      <c r="D11" s="494">
        <v>-0.27114173000000003</v>
      </c>
      <c r="E11" s="495">
        <v>-2.2997429999999999E-2</v>
      </c>
      <c r="F11" s="495">
        <v>-1.3436999999999999E-2</v>
      </c>
      <c r="G11" s="495">
        <v>-1.5489039999999997E-2</v>
      </c>
      <c r="H11" s="495">
        <v>-7.6551399999999995E-3</v>
      </c>
      <c r="I11" s="495">
        <v>-0.74120036</v>
      </c>
      <c r="J11" s="495">
        <v>-1.6682222799999997</v>
      </c>
      <c r="K11" s="500"/>
    </row>
    <row r="12" spans="1:12" s="2" customFormat="1">
      <c r="B12" s="106" t="s">
        <v>158</v>
      </c>
      <c r="C12" s="121" t="s">
        <v>125</v>
      </c>
      <c r="D12" s="494">
        <v>-38.558308165256335</v>
      </c>
      <c r="E12" s="495">
        <v>-43.9</v>
      </c>
      <c r="F12" s="495">
        <v>-45.800000000000004</v>
      </c>
      <c r="G12" s="495">
        <v>-31.3</v>
      </c>
      <c r="H12" s="495">
        <v>-52.5</v>
      </c>
      <c r="I12" s="495">
        <v>-46.2</v>
      </c>
      <c r="J12" s="495">
        <v>-45.6</v>
      </c>
      <c r="K12" s="500"/>
    </row>
    <row r="13" spans="1:12" s="2" customFormat="1">
      <c r="B13" s="106" t="s">
        <v>159</v>
      </c>
      <c r="C13" s="121" t="s">
        <v>125</v>
      </c>
      <c r="D13" s="494">
        <v>0</v>
      </c>
      <c r="E13" s="495">
        <v>0</v>
      </c>
      <c r="F13" s="495">
        <v>0</v>
      </c>
      <c r="G13" s="495">
        <v>0</v>
      </c>
      <c r="H13" s="495">
        <v>0</v>
      </c>
      <c r="I13" s="495">
        <v>0</v>
      </c>
      <c r="J13" s="495">
        <v>0</v>
      </c>
      <c r="K13" s="500"/>
    </row>
    <row r="14" spans="1:12" s="2" customFormat="1">
      <c r="B14" s="106" t="s">
        <v>160</v>
      </c>
      <c r="C14" s="121" t="s">
        <v>125</v>
      </c>
      <c r="D14" s="494">
        <v>0</v>
      </c>
      <c r="E14" s="495">
        <v>0</v>
      </c>
      <c r="F14" s="495">
        <v>0</v>
      </c>
      <c r="G14" s="495">
        <v>0</v>
      </c>
      <c r="H14" s="495">
        <v>0</v>
      </c>
      <c r="I14" s="495">
        <v>0</v>
      </c>
      <c r="J14" s="495">
        <v>0</v>
      </c>
      <c r="K14" s="838"/>
    </row>
    <row r="15" spans="1:12" s="2" customFormat="1">
      <c r="A15" s="3">
        <v>1</v>
      </c>
      <c r="B15" s="818" t="s">
        <v>605</v>
      </c>
      <c r="C15" s="121" t="s">
        <v>125</v>
      </c>
      <c r="D15" s="494">
        <v>0</v>
      </c>
      <c r="E15" s="495">
        <v>0</v>
      </c>
      <c r="F15" s="495">
        <v>0</v>
      </c>
      <c r="G15" s="495">
        <v>0</v>
      </c>
      <c r="H15" s="495">
        <v>0</v>
      </c>
      <c r="I15" s="495">
        <v>0</v>
      </c>
      <c r="J15" s="495">
        <v>0</v>
      </c>
      <c r="K15" s="500"/>
    </row>
    <row r="16" spans="1:12" s="2" customFormat="1">
      <c r="A16" s="3">
        <v>2</v>
      </c>
      <c r="B16" s="818" t="s">
        <v>606</v>
      </c>
      <c r="C16" s="121" t="s">
        <v>125</v>
      </c>
      <c r="D16" s="494">
        <v>0</v>
      </c>
      <c r="E16" s="495">
        <v>0</v>
      </c>
      <c r="F16" s="495">
        <v>0</v>
      </c>
      <c r="G16" s="495">
        <v>0</v>
      </c>
      <c r="H16" s="495">
        <v>-52</v>
      </c>
      <c r="I16" s="495">
        <v>-56</v>
      </c>
      <c r="J16" s="495">
        <v>-55.199999999999996</v>
      </c>
      <c r="K16" s="500"/>
    </row>
    <row r="17" spans="1:11" s="2" customFormat="1">
      <c r="A17" s="3">
        <v>3</v>
      </c>
      <c r="B17" s="818" t="s">
        <v>594</v>
      </c>
      <c r="C17" s="121" t="s">
        <v>125</v>
      </c>
      <c r="D17" s="834">
        <v>0</v>
      </c>
      <c r="E17" s="835">
        <v>0</v>
      </c>
      <c r="F17" s="835">
        <v>0</v>
      </c>
      <c r="G17" s="835">
        <v>0</v>
      </c>
      <c r="H17" s="835">
        <v>0</v>
      </c>
      <c r="I17" s="835">
        <v>0</v>
      </c>
      <c r="J17" s="835">
        <v>0</v>
      </c>
      <c r="K17" s="500"/>
    </row>
    <row r="18" spans="1:11" s="2" customFormat="1">
      <c r="B18" s="12" t="s">
        <v>161</v>
      </c>
      <c r="C18" s="121" t="s">
        <v>125</v>
      </c>
      <c r="D18" s="505">
        <f>SUM(D9:D17)</f>
        <v>178.27055010474376</v>
      </c>
      <c r="E18" s="506">
        <f t="shared" ref="E18:K18" si="1">SUM(E9:E17)</f>
        <v>174.27700256999998</v>
      </c>
      <c r="F18" s="506">
        <f t="shared" si="1"/>
        <v>193.68656299999986</v>
      </c>
      <c r="G18" s="506">
        <f t="shared" si="1"/>
        <v>210.78451095999998</v>
      </c>
      <c r="H18" s="506">
        <f t="shared" si="1"/>
        <v>185.49234486000012</v>
      </c>
      <c r="I18" s="506">
        <f t="shared" si="1"/>
        <v>162.65879964000027</v>
      </c>
      <c r="J18" s="506">
        <f t="shared" si="1"/>
        <v>166.63177771999963</v>
      </c>
      <c r="K18" s="507">
        <f t="shared" si="1"/>
        <v>0</v>
      </c>
    </row>
    <row r="19" spans="1:11" s="2" customFormat="1">
      <c r="B19" s="106" t="s">
        <v>162</v>
      </c>
      <c r="C19" s="121" t="s">
        <v>125</v>
      </c>
      <c r="D19" s="508">
        <v>110.97114173</v>
      </c>
      <c r="E19" s="509">
        <v>118.77224981000001</v>
      </c>
      <c r="F19" s="509">
        <v>128.17400788</v>
      </c>
      <c r="G19" s="509">
        <v>137.31548904000002</v>
      </c>
      <c r="H19" s="509">
        <v>136.87872599000002</v>
      </c>
      <c r="I19" s="509">
        <v>133.42065884999997</v>
      </c>
      <c r="J19" s="509">
        <v>143.19999999999999</v>
      </c>
      <c r="K19" s="510"/>
    </row>
    <row r="20" spans="1:11" s="2" customFormat="1">
      <c r="A20" s="3">
        <v>1</v>
      </c>
      <c r="B20" s="818" t="s">
        <v>594</v>
      </c>
      <c r="C20" s="121" t="s">
        <v>125</v>
      </c>
      <c r="D20" s="492"/>
      <c r="E20" s="493"/>
      <c r="F20" s="493"/>
      <c r="G20" s="493"/>
      <c r="H20" s="493"/>
      <c r="I20" s="493"/>
      <c r="J20" s="493"/>
      <c r="K20" s="499"/>
    </row>
    <row r="21" spans="1:11" s="2" customFormat="1">
      <c r="A21" s="3">
        <v>2</v>
      </c>
      <c r="B21" s="818" t="s">
        <v>594</v>
      </c>
      <c r="C21" s="121" t="s">
        <v>125</v>
      </c>
      <c r="D21" s="494"/>
      <c r="E21" s="495"/>
      <c r="F21" s="495"/>
      <c r="G21" s="495"/>
      <c r="H21" s="495"/>
      <c r="I21" s="495"/>
      <c r="J21" s="495"/>
      <c r="K21" s="500"/>
    </row>
    <row r="22" spans="1:11" s="2" customFormat="1">
      <c r="A22" s="3">
        <v>3</v>
      </c>
      <c r="B22" s="818" t="s">
        <v>594</v>
      </c>
      <c r="C22" s="121" t="s">
        <v>125</v>
      </c>
      <c r="D22" s="494"/>
      <c r="E22" s="495"/>
      <c r="F22" s="495"/>
      <c r="G22" s="495"/>
      <c r="H22" s="495"/>
      <c r="I22" s="495"/>
      <c r="J22" s="495"/>
      <c r="K22" s="500"/>
    </row>
    <row r="23" spans="1:11" s="2" customFormat="1">
      <c r="B23" s="12" t="s">
        <v>163</v>
      </c>
      <c r="C23" s="121" t="s">
        <v>125</v>
      </c>
      <c r="D23" s="501">
        <f>SUM(D18:D22)</f>
        <v>289.24169183474373</v>
      </c>
      <c r="E23" s="502">
        <f t="shared" ref="E23:K23" si="2">SUM(E18:E22)</f>
        <v>293.04925237999998</v>
      </c>
      <c r="F23" s="502">
        <f t="shared" si="2"/>
        <v>321.86057087999984</v>
      </c>
      <c r="G23" s="502">
        <f t="shared" si="2"/>
        <v>348.1</v>
      </c>
      <c r="H23" s="502">
        <f t="shared" si="2"/>
        <v>322.37107085000014</v>
      </c>
      <c r="I23" s="502">
        <f t="shared" si="2"/>
        <v>296.07945849000021</v>
      </c>
      <c r="J23" s="502">
        <f t="shared" si="2"/>
        <v>309.83177771999965</v>
      </c>
      <c r="K23" s="503">
        <f t="shared" si="2"/>
        <v>0</v>
      </c>
    </row>
    <row r="24" spans="1:11" s="2" customFormat="1">
      <c r="C24" s="109"/>
      <c r="D24" s="42"/>
      <c r="E24" s="42"/>
      <c r="F24" s="42"/>
      <c r="G24" s="42"/>
      <c r="H24" s="42"/>
      <c r="I24" s="42"/>
      <c r="J24" s="42"/>
      <c r="K24" s="42"/>
    </row>
    <row r="25" spans="1:11" s="2" customFormat="1">
      <c r="B25" s="12" t="s">
        <v>439</v>
      </c>
      <c r="C25" s="121" t="s">
        <v>125</v>
      </c>
    </row>
    <row r="26" spans="1:11" s="2" customFormat="1">
      <c r="A26" s="3">
        <v>1</v>
      </c>
      <c r="B26" s="818" t="s">
        <v>607</v>
      </c>
      <c r="C26" s="121" t="s">
        <v>125</v>
      </c>
      <c r="D26" s="492">
        <v>-1.2725947103999995</v>
      </c>
      <c r="E26" s="493">
        <v>-0.12774835000000206</v>
      </c>
      <c r="F26" s="493">
        <v>-0.15269653</v>
      </c>
      <c r="G26" s="493">
        <v>-0.43862675000000001</v>
      </c>
      <c r="H26" s="493">
        <v>-5.9173439999999987E-2</v>
      </c>
      <c r="I26" s="493">
        <v>0.10981661</v>
      </c>
      <c r="J26" s="493">
        <v>1.451699E-2</v>
      </c>
      <c r="K26" s="499"/>
    </row>
    <row r="27" spans="1:11" s="2" customFormat="1">
      <c r="A27" s="3">
        <v>2</v>
      </c>
      <c r="B27" s="818" t="s">
        <v>608</v>
      </c>
      <c r="C27" s="121" t="s">
        <v>125</v>
      </c>
      <c r="D27" s="494">
        <v>-3.0612527199999997</v>
      </c>
      <c r="E27" s="495">
        <v>-3.0650671800000007</v>
      </c>
      <c r="F27" s="495">
        <v>-4.2272889972347949</v>
      </c>
      <c r="G27" s="495">
        <v>-6.2903580495067892</v>
      </c>
      <c r="H27" s="495">
        <v>-8.9294440926506145</v>
      </c>
      <c r="I27" s="495">
        <v>-8.6538495295261946</v>
      </c>
      <c r="J27" s="495">
        <v>-3.9973111994399773</v>
      </c>
      <c r="K27" s="500"/>
    </row>
    <row r="28" spans="1:11" s="2" customFormat="1">
      <c r="A28" s="3">
        <v>3</v>
      </c>
      <c r="B28" s="818" t="s">
        <v>609</v>
      </c>
      <c r="C28" s="121" t="s">
        <v>125</v>
      </c>
      <c r="D28" s="494">
        <v>7.9413361999999985</v>
      </c>
      <c r="E28" s="495">
        <v>5.7945412799999874</v>
      </c>
      <c r="F28" s="495">
        <v>2.9771412100000054</v>
      </c>
      <c r="G28" s="495">
        <v>4.5665237076655627</v>
      </c>
      <c r="H28" s="495">
        <v>4.669699734398634</v>
      </c>
      <c r="I28" s="495">
        <v>8.2166970035279405</v>
      </c>
      <c r="J28" s="495">
        <v>9.0009224809152322</v>
      </c>
      <c r="K28" s="500"/>
    </row>
    <row r="29" spans="1:11" s="2" customFormat="1">
      <c r="A29" s="3">
        <v>4</v>
      </c>
      <c r="B29" s="818" t="s">
        <v>610</v>
      </c>
      <c r="C29" s="121" t="s">
        <v>125</v>
      </c>
      <c r="D29" s="494">
        <v>0.44727467415850808</v>
      </c>
      <c r="E29" s="495">
        <v>-3.016859365539216</v>
      </c>
      <c r="F29" s="495">
        <v>-7.1171666284258279</v>
      </c>
      <c r="G29" s="495">
        <v>0</v>
      </c>
      <c r="H29" s="495">
        <v>0</v>
      </c>
      <c r="I29" s="495">
        <v>0</v>
      </c>
      <c r="J29" s="495">
        <v>0</v>
      </c>
      <c r="K29" s="500"/>
    </row>
    <row r="30" spans="1:11" s="2" customFormat="1">
      <c r="A30" s="3">
        <v>5</v>
      </c>
      <c r="B30" s="818" t="s">
        <v>611</v>
      </c>
      <c r="C30" s="121" t="s">
        <v>125</v>
      </c>
      <c r="D30" s="494">
        <v>0.12136</v>
      </c>
      <c r="E30" s="495">
        <v>0.18692</v>
      </c>
      <c r="F30" s="495">
        <v>0.15716000000000002</v>
      </c>
      <c r="G30" s="495">
        <v>0</v>
      </c>
      <c r="H30" s="495">
        <v>0</v>
      </c>
      <c r="I30" s="495">
        <v>0</v>
      </c>
      <c r="J30" s="495">
        <v>0</v>
      </c>
      <c r="K30" s="500"/>
    </row>
    <row r="31" spans="1:11" s="2" customFormat="1">
      <c r="A31" s="3">
        <v>6</v>
      </c>
      <c r="B31" s="818" t="s">
        <v>612</v>
      </c>
      <c r="C31" s="121" t="s">
        <v>125</v>
      </c>
      <c r="D31" s="494">
        <v>7.2876599457781577</v>
      </c>
      <c r="E31" s="495">
        <v>8.8726575385036668</v>
      </c>
      <c r="F31" s="495">
        <v>7.0763546736125464</v>
      </c>
      <c r="G31" s="495">
        <v>1.9503317665111293</v>
      </c>
      <c r="H31" s="495">
        <v>1.0717671655005296</v>
      </c>
      <c r="I31" s="495">
        <v>2.0703191185351062</v>
      </c>
      <c r="J31" s="495">
        <v>3.2189620953108542</v>
      </c>
      <c r="K31" s="500"/>
    </row>
    <row r="32" spans="1:11" s="2" customFormat="1">
      <c r="A32" s="3">
        <v>7</v>
      </c>
      <c r="B32" s="818" t="s">
        <v>613</v>
      </c>
      <c r="C32" s="121" t="s">
        <v>125</v>
      </c>
      <c r="D32" s="494">
        <v>25.062000000000001</v>
      </c>
      <c r="E32" s="495">
        <v>31.649726066520856</v>
      </c>
      <c r="F32" s="495">
        <v>32.010985783334355</v>
      </c>
      <c r="G32" s="495">
        <v>33.259414228884395</v>
      </c>
      <c r="H32" s="495">
        <v>35.269880169821555</v>
      </c>
      <c r="I32" s="495">
        <v>36.319057404641669</v>
      </c>
      <c r="J32" s="495">
        <v>36.729462745176022</v>
      </c>
      <c r="K32" s="500"/>
    </row>
    <row r="33" spans="1:11" s="2" customFormat="1">
      <c r="A33" s="3">
        <v>8</v>
      </c>
      <c r="B33" s="818" t="s">
        <v>614</v>
      </c>
      <c r="C33" s="121" t="s">
        <v>125</v>
      </c>
      <c r="D33" s="494">
        <v>8.0000000000000682E-2</v>
      </c>
      <c r="E33" s="495">
        <v>0.98050342564271897</v>
      </c>
      <c r="F33" s="495">
        <v>2.7938477740857195</v>
      </c>
      <c r="G33" s="495">
        <v>-0.15930215000000003</v>
      </c>
      <c r="H33" s="495">
        <v>0.12362493999999995</v>
      </c>
      <c r="I33" s="495">
        <v>0.43313723874999976</v>
      </c>
      <c r="J33" s="495">
        <v>-1.7735182800000002</v>
      </c>
      <c r="K33" s="500"/>
    </row>
    <row r="34" spans="1:11" s="2" customFormat="1">
      <c r="A34" s="3">
        <v>9</v>
      </c>
      <c r="B34" s="818" t="s">
        <v>615</v>
      </c>
      <c r="C34" s="121" t="s">
        <v>125</v>
      </c>
      <c r="D34" s="494">
        <v>-1.1274653099999992</v>
      </c>
      <c r="E34" s="495">
        <v>0</v>
      </c>
      <c r="F34" s="495">
        <v>0</v>
      </c>
      <c r="G34" s="495">
        <v>-3.7482993900000001</v>
      </c>
      <c r="H34" s="495">
        <v>1.0021147200000002</v>
      </c>
      <c r="I34" s="495">
        <v>9.7516929999999696E-2</v>
      </c>
      <c r="J34" s="495">
        <v>-1.0348520599999995</v>
      </c>
      <c r="K34" s="500"/>
    </row>
    <row r="35" spans="1:11" s="2" customFormat="1">
      <c r="A35" s="3">
        <v>10</v>
      </c>
      <c r="B35" s="818" t="s">
        <v>616</v>
      </c>
      <c r="C35" s="121" t="s">
        <v>125</v>
      </c>
      <c r="D35" s="494">
        <v>0</v>
      </c>
      <c r="E35" s="495">
        <v>0</v>
      </c>
      <c r="F35" s="495">
        <v>0</v>
      </c>
      <c r="G35" s="495">
        <v>-0.39300000000000002</v>
      </c>
      <c r="H35" s="495">
        <v>-0.86547162</v>
      </c>
      <c r="I35" s="495">
        <v>-0.41107933000000002</v>
      </c>
      <c r="J35" s="495">
        <v>-0.64097651</v>
      </c>
      <c r="K35" s="500"/>
    </row>
    <row r="36" spans="1:11" s="2" customFormat="1">
      <c r="A36" s="3">
        <v>11</v>
      </c>
      <c r="B36" s="818" t="s">
        <v>617</v>
      </c>
      <c r="C36" s="121" t="s">
        <v>125</v>
      </c>
      <c r="D36" s="494">
        <v>0</v>
      </c>
      <c r="E36" s="495">
        <v>0</v>
      </c>
      <c r="F36" s="495">
        <v>0</v>
      </c>
      <c r="G36" s="495">
        <v>0</v>
      </c>
      <c r="H36" s="495">
        <v>2.0238734300000001</v>
      </c>
      <c r="I36" s="495">
        <v>1.1319833089282645</v>
      </c>
      <c r="J36" s="495">
        <v>1.5411110946499995</v>
      </c>
      <c r="K36" s="500"/>
    </row>
    <row r="37" spans="1:11" s="2" customFormat="1">
      <c r="A37" s="3">
        <v>12</v>
      </c>
      <c r="B37" s="818" t="s">
        <v>618</v>
      </c>
      <c r="C37" s="121" t="s">
        <v>125</v>
      </c>
      <c r="D37" s="494">
        <v>0</v>
      </c>
      <c r="E37" s="495">
        <v>0</v>
      </c>
      <c r="F37" s="495">
        <v>0</v>
      </c>
      <c r="G37" s="495">
        <v>0</v>
      </c>
      <c r="H37" s="495">
        <v>0</v>
      </c>
      <c r="I37" s="495">
        <v>2.757454945605744</v>
      </c>
      <c r="J37" s="495">
        <v>1.088109409788288</v>
      </c>
      <c r="K37" s="500"/>
    </row>
    <row r="38" spans="1:11" s="2" customFormat="1">
      <c r="A38" s="3">
        <v>13</v>
      </c>
      <c r="B38" s="818" t="s">
        <v>594</v>
      </c>
      <c r="C38" s="121" t="s">
        <v>125</v>
      </c>
      <c r="D38" s="494">
        <v>0</v>
      </c>
      <c r="E38" s="495">
        <v>0</v>
      </c>
      <c r="F38" s="495">
        <v>0</v>
      </c>
      <c r="G38" s="495">
        <v>0</v>
      </c>
      <c r="H38" s="495">
        <v>0</v>
      </c>
      <c r="I38" s="495">
        <v>0</v>
      </c>
      <c r="J38" s="495">
        <v>0</v>
      </c>
      <c r="K38" s="500"/>
    </row>
    <row r="39" spans="1:11" s="2" customFormat="1">
      <c r="A39" s="3">
        <v>14</v>
      </c>
      <c r="B39" s="818" t="s">
        <v>594</v>
      </c>
      <c r="C39" s="121" t="s">
        <v>125</v>
      </c>
      <c r="D39" s="494">
        <v>0</v>
      </c>
      <c r="E39" s="495">
        <v>0</v>
      </c>
      <c r="F39" s="495">
        <v>0</v>
      </c>
      <c r="G39" s="495">
        <v>0</v>
      </c>
      <c r="H39" s="495">
        <v>0</v>
      </c>
      <c r="I39" s="495">
        <v>0</v>
      </c>
      <c r="J39" s="495">
        <v>0</v>
      </c>
      <c r="K39" s="500"/>
    </row>
    <row r="40" spans="1:11" s="2" customFormat="1">
      <c r="A40" s="3">
        <v>15</v>
      </c>
      <c r="B40" s="818" t="s">
        <v>594</v>
      </c>
      <c r="C40" s="121" t="s">
        <v>125</v>
      </c>
      <c r="D40" s="494">
        <v>0</v>
      </c>
      <c r="E40" s="495">
        <v>0</v>
      </c>
      <c r="F40" s="495">
        <v>0</v>
      </c>
      <c r="G40" s="495">
        <v>0</v>
      </c>
      <c r="H40" s="495">
        <v>0</v>
      </c>
      <c r="I40" s="495">
        <v>0</v>
      </c>
      <c r="J40" s="495">
        <v>0</v>
      </c>
      <c r="K40" s="500"/>
    </row>
    <row r="41" spans="1:11" s="2" customFormat="1">
      <c r="A41" s="3">
        <v>16</v>
      </c>
      <c r="B41" s="818" t="s">
        <v>594</v>
      </c>
      <c r="C41" s="121" t="s">
        <v>125</v>
      </c>
      <c r="D41" s="494">
        <v>0</v>
      </c>
      <c r="E41" s="495">
        <v>0</v>
      </c>
      <c r="F41" s="495">
        <v>0</v>
      </c>
      <c r="G41" s="495">
        <v>0</v>
      </c>
      <c r="H41" s="495">
        <v>0</v>
      </c>
      <c r="I41" s="495">
        <v>0</v>
      </c>
      <c r="J41" s="495">
        <v>0</v>
      </c>
      <c r="K41" s="500"/>
    </row>
    <row r="42" spans="1:11" s="2" customFormat="1">
      <c r="A42" s="3">
        <v>17</v>
      </c>
      <c r="B42" s="818" t="s">
        <v>594</v>
      </c>
      <c r="C42" s="121" t="s">
        <v>125</v>
      </c>
      <c r="D42" s="494">
        <v>0</v>
      </c>
      <c r="E42" s="495">
        <v>0</v>
      </c>
      <c r="F42" s="495">
        <v>0</v>
      </c>
      <c r="G42" s="495">
        <v>0</v>
      </c>
      <c r="H42" s="495">
        <v>0</v>
      </c>
      <c r="I42" s="495">
        <v>0</v>
      </c>
      <c r="J42" s="495">
        <v>0</v>
      </c>
      <c r="K42" s="500"/>
    </row>
    <row r="43" spans="1:11" s="2" customFormat="1">
      <c r="A43" s="3">
        <v>18</v>
      </c>
      <c r="B43" s="818" t="s">
        <v>594</v>
      </c>
      <c r="C43" s="121" t="s">
        <v>125</v>
      </c>
      <c r="D43" s="494">
        <v>0</v>
      </c>
      <c r="E43" s="495">
        <v>0</v>
      </c>
      <c r="F43" s="495">
        <v>0</v>
      </c>
      <c r="G43" s="495">
        <v>0</v>
      </c>
      <c r="H43" s="495">
        <v>0</v>
      </c>
      <c r="I43" s="495">
        <v>0</v>
      </c>
      <c r="J43" s="495">
        <v>0</v>
      </c>
      <c r="K43" s="500"/>
    </row>
    <row r="44" spans="1:11" s="2" customFormat="1">
      <c r="A44" s="3">
        <v>19</v>
      </c>
      <c r="B44" s="818" t="s">
        <v>594</v>
      </c>
      <c r="C44" s="121" t="s">
        <v>125</v>
      </c>
      <c r="D44" s="494">
        <v>0</v>
      </c>
      <c r="E44" s="495">
        <v>0</v>
      </c>
      <c r="F44" s="495">
        <v>0</v>
      </c>
      <c r="G44" s="495">
        <v>0</v>
      </c>
      <c r="H44" s="495">
        <v>0</v>
      </c>
      <c r="I44" s="495">
        <v>0</v>
      </c>
      <c r="J44" s="495">
        <v>0</v>
      </c>
      <c r="K44" s="500"/>
    </row>
    <row r="45" spans="1:11" s="2" customFormat="1">
      <c r="A45" s="3">
        <v>20</v>
      </c>
      <c r="B45" s="818" t="s">
        <v>594</v>
      </c>
      <c r="C45" s="121" t="s">
        <v>125</v>
      </c>
      <c r="D45" s="834">
        <v>0</v>
      </c>
      <c r="E45" s="835">
        <v>0</v>
      </c>
      <c r="F45" s="835">
        <v>0</v>
      </c>
      <c r="G45" s="835">
        <v>0</v>
      </c>
      <c r="H45" s="835">
        <v>0</v>
      </c>
      <c r="I45" s="835">
        <v>0</v>
      </c>
      <c r="J45" s="835">
        <v>0</v>
      </c>
      <c r="K45" s="504"/>
    </row>
    <row r="46" spans="1:11" s="2" customFormat="1">
      <c r="B46" s="12" t="s">
        <v>392</v>
      </c>
      <c r="C46" s="121" t="s">
        <v>125</v>
      </c>
      <c r="D46" s="501">
        <f>SUM(D26:D45)</f>
        <v>35.47831807953667</v>
      </c>
      <c r="E46" s="502">
        <f t="shared" ref="E46:K46" si="3">SUM(E26:E45)</f>
        <v>41.274673415128007</v>
      </c>
      <c r="F46" s="502">
        <f t="shared" si="3"/>
        <v>33.518337285371999</v>
      </c>
      <c r="G46" s="502">
        <f t="shared" si="3"/>
        <v>28.746683363554297</v>
      </c>
      <c r="H46" s="502">
        <f t="shared" si="3"/>
        <v>34.306871007070107</v>
      </c>
      <c r="I46" s="502">
        <f t="shared" si="3"/>
        <v>42.071053700462521</v>
      </c>
      <c r="J46" s="502">
        <f t="shared" si="3"/>
        <v>44.146426766400417</v>
      </c>
      <c r="K46" s="503">
        <f t="shared" si="3"/>
        <v>0</v>
      </c>
    </row>
    <row r="47" spans="1:11" s="2" customFormat="1">
      <c r="C47" s="109"/>
      <c r="D47" s="42"/>
      <c r="E47" s="42"/>
      <c r="F47" s="42"/>
      <c r="G47" s="42"/>
      <c r="H47" s="42"/>
      <c r="I47" s="42"/>
      <c r="J47" s="42"/>
      <c r="K47" s="42"/>
    </row>
    <row r="48" spans="1:11" s="2" customFormat="1">
      <c r="B48" s="12" t="s">
        <v>438</v>
      </c>
      <c r="C48" s="121" t="s">
        <v>125</v>
      </c>
      <c r="D48" s="501">
        <f>D46+D23</f>
        <v>324.72000991428041</v>
      </c>
      <c r="E48" s="502">
        <f t="shared" ref="E48:K48" si="4">E46+E23</f>
        <v>334.32392579512799</v>
      </c>
      <c r="F48" s="502">
        <f t="shared" si="4"/>
        <v>355.37890816537185</v>
      </c>
      <c r="G48" s="502">
        <f t="shared" si="4"/>
        <v>376.84668336355435</v>
      </c>
      <c r="H48" s="502">
        <f t="shared" si="4"/>
        <v>356.67794185707027</v>
      </c>
      <c r="I48" s="502">
        <f t="shared" si="4"/>
        <v>338.15051219046273</v>
      </c>
      <c r="J48" s="502">
        <f t="shared" si="4"/>
        <v>353.97820448640005</v>
      </c>
      <c r="K48" s="503">
        <f t="shared" si="4"/>
        <v>0</v>
      </c>
    </row>
    <row r="49" spans="1:11" s="2" customFormat="1">
      <c r="B49" s="2" t="s">
        <v>393</v>
      </c>
      <c r="C49" s="121" t="s">
        <v>125</v>
      </c>
      <c r="D49" s="508">
        <v>324.82453920775185</v>
      </c>
      <c r="E49" s="509">
        <v>334.32392575512796</v>
      </c>
      <c r="F49" s="509">
        <v>355.3832619574834</v>
      </c>
      <c r="G49" s="509">
        <v>376.84668336355435</v>
      </c>
      <c r="H49" s="509">
        <v>356.67794185707015</v>
      </c>
      <c r="I49" s="509">
        <v>338.15060067401481</v>
      </c>
      <c r="J49" s="509">
        <v>354.0191809964</v>
      </c>
      <c r="K49" s="499"/>
    </row>
    <row r="50" spans="1:11" s="2" customFormat="1">
      <c r="C50" s="109" t="s">
        <v>396</v>
      </c>
      <c r="D50" s="511" t="str">
        <f>IF(D$5="Actuals",IF(ABS(D48-D49)&lt;1,"OK","ERROR"),"N/A")</f>
        <v>OK</v>
      </c>
      <c r="E50" s="512" t="str">
        <f t="shared" ref="E50:K50" si="5">IF(E$5="Actuals",IF(ABS(E48-E49)&lt;1,"OK","ERROR"),"N/A")</f>
        <v>OK</v>
      </c>
      <c r="F50" s="512" t="str">
        <f t="shared" si="5"/>
        <v>OK</v>
      </c>
      <c r="G50" s="512" t="str">
        <f t="shared" si="5"/>
        <v>OK</v>
      </c>
      <c r="H50" s="512" t="str">
        <f t="shared" si="5"/>
        <v>OK</v>
      </c>
      <c r="I50" s="512" t="str">
        <f t="shared" si="5"/>
        <v>OK</v>
      </c>
      <c r="J50" s="512" t="str">
        <f t="shared" si="5"/>
        <v>OK</v>
      </c>
      <c r="K50" s="513" t="str">
        <f t="shared" si="5"/>
        <v>N/A</v>
      </c>
    </row>
    <row r="51" spans="1:11" s="2" customFormat="1">
      <c r="B51" s="2" t="s">
        <v>81</v>
      </c>
      <c r="C51" s="109"/>
    </row>
    <row r="52" spans="1:11" s="2" customFormat="1">
      <c r="B52" s="12" t="s">
        <v>394</v>
      </c>
      <c r="C52" s="121"/>
    </row>
    <row r="53" spans="1:11" s="2" customFormat="1">
      <c r="A53" s="3">
        <v>1</v>
      </c>
      <c r="B53" s="818" t="s">
        <v>619</v>
      </c>
      <c r="C53" s="121" t="s">
        <v>125</v>
      </c>
      <c r="D53" s="492">
        <v>34.523877677293846</v>
      </c>
      <c r="E53" s="493">
        <v>34.899489626000005</v>
      </c>
      <c r="F53" s="493">
        <v>41.869719822414872</v>
      </c>
      <c r="G53" s="493">
        <v>43.914456453462691</v>
      </c>
      <c r="H53" s="493">
        <v>44.82055787650404</v>
      </c>
      <c r="I53" s="493">
        <v>49.976566565776601</v>
      </c>
      <c r="J53" s="493">
        <v>46.7203243665153</v>
      </c>
      <c r="K53" s="499"/>
    </row>
    <row r="54" spans="1:11" s="2" customFormat="1">
      <c r="A54" s="3">
        <v>2</v>
      </c>
      <c r="B54" s="818" t="s">
        <v>620</v>
      </c>
      <c r="C54" s="121" t="s">
        <v>125</v>
      </c>
      <c r="D54" s="494">
        <v>23.847019660000001</v>
      </c>
      <c r="E54" s="495">
        <v>25.124262629150838</v>
      </c>
      <c r="F54" s="495">
        <v>32.20991271645029</v>
      </c>
      <c r="G54" s="495">
        <v>30.788288774681842</v>
      </c>
      <c r="H54" s="495">
        <v>31.26104407413634</v>
      </c>
      <c r="I54" s="495">
        <v>31.41669183677995</v>
      </c>
      <c r="J54" s="495">
        <v>33.954234859421391</v>
      </c>
      <c r="K54" s="500"/>
    </row>
    <row r="55" spans="1:11" s="2" customFormat="1">
      <c r="A55" s="3">
        <v>3</v>
      </c>
      <c r="B55" s="818" t="s">
        <v>621</v>
      </c>
      <c r="C55" s="121" t="s">
        <v>125</v>
      </c>
      <c r="D55" s="494">
        <v>14.24716676039551</v>
      </c>
      <c r="E55" s="495">
        <v>5.7805177945473751</v>
      </c>
      <c r="F55" s="495">
        <v>-0.54203200340354452</v>
      </c>
      <c r="G55" s="495">
        <v>8.0688864867740513</v>
      </c>
      <c r="H55" s="495">
        <v>3.7289154080144558</v>
      </c>
      <c r="I55" s="495">
        <v>2.3020469062759061</v>
      </c>
      <c r="J55" s="495">
        <v>1.0842082522420833</v>
      </c>
      <c r="K55" s="500"/>
    </row>
    <row r="56" spans="1:11" s="2" customFormat="1">
      <c r="A56" s="3">
        <v>4</v>
      </c>
      <c r="B56" s="818" t="s">
        <v>622</v>
      </c>
      <c r="C56" s="121" t="s">
        <v>125</v>
      </c>
      <c r="D56" s="494">
        <v>9.5052676736637913</v>
      </c>
      <c r="E56" s="495">
        <v>10.019888008759748</v>
      </c>
      <c r="F56" s="495">
        <v>9.113505858643407</v>
      </c>
      <c r="G56" s="495">
        <v>1.02897091</v>
      </c>
      <c r="H56" s="495">
        <v>1.1229749</v>
      </c>
      <c r="I56" s="495">
        <v>1.1256238599999999</v>
      </c>
      <c r="J56" s="495">
        <v>1.1402006499999999</v>
      </c>
      <c r="K56" s="500"/>
    </row>
    <row r="57" spans="1:11" s="2" customFormat="1">
      <c r="A57" s="3">
        <v>5</v>
      </c>
      <c r="B57" s="818" t="s">
        <v>623</v>
      </c>
      <c r="C57" s="121" t="s">
        <v>125</v>
      </c>
      <c r="D57" s="494">
        <v>1.6488479910158671</v>
      </c>
      <c r="E57" s="495">
        <v>1.663143644914447</v>
      </c>
      <c r="F57" s="495">
        <v>1.8188116875589717</v>
      </c>
      <c r="G57" s="495">
        <v>1.692788261507455</v>
      </c>
      <c r="H57" s="495">
        <v>2.8823801607531818</v>
      </c>
      <c r="I57" s="495">
        <v>2.2846836879668575</v>
      </c>
      <c r="J57" s="495">
        <v>2.6040774417216448</v>
      </c>
      <c r="K57" s="500"/>
    </row>
    <row r="58" spans="1:11" s="2" customFormat="1">
      <c r="A58" s="3">
        <v>6</v>
      </c>
      <c r="B58" s="818" t="s">
        <v>624</v>
      </c>
      <c r="C58" s="121" t="s">
        <v>125</v>
      </c>
      <c r="D58" s="494">
        <v>0.27114172999999997</v>
      </c>
      <c r="E58" s="495">
        <v>2.2997429999999999E-2</v>
      </c>
      <c r="F58" s="495">
        <v>1.3436999999999999E-2</v>
      </c>
      <c r="G58" s="495">
        <v>2.3E-2</v>
      </c>
      <c r="H58" s="495">
        <v>0.25273956000000003</v>
      </c>
      <c r="I58" s="495">
        <v>0.93293609000000011</v>
      </c>
      <c r="J58" s="495">
        <v>2.2630936699999991</v>
      </c>
      <c r="K58" s="500"/>
    </row>
    <row r="59" spans="1:11" s="2" customFormat="1">
      <c r="A59" s="3">
        <v>7</v>
      </c>
      <c r="B59" s="818" t="s">
        <v>625</v>
      </c>
      <c r="C59" s="121" t="s">
        <v>125</v>
      </c>
      <c r="D59" s="494">
        <v>0.46533014</v>
      </c>
      <c r="E59" s="495">
        <v>0.19975195999999998</v>
      </c>
      <c r="F59" s="495">
        <v>0.45713994000000002</v>
      </c>
      <c r="G59" s="495">
        <v>0.38951565999999999</v>
      </c>
      <c r="H59" s="495">
        <v>0.29453993000000006</v>
      </c>
      <c r="I59" s="495">
        <v>0.40226605999999998</v>
      </c>
      <c r="J59" s="495">
        <v>0.22734674999999996</v>
      </c>
      <c r="K59" s="500"/>
    </row>
    <row r="60" spans="1:11" s="2" customFormat="1">
      <c r="A60" s="3">
        <v>8</v>
      </c>
      <c r="B60" s="818" t="s">
        <v>626</v>
      </c>
      <c r="C60" s="121" t="s">
        <v>125</v>
      </c>
      <c r="D60" s="494">
        <v>0</v>
      </c>
      <c r="E60" s="495">
        <v>0</v>
      </c>
      <c r="F60" s="495">
        <v>0</v>
      </c>
      <c r="G60" s="495">
        <v>0</v>
      </c>
      <c r="H60" s="495">
        <v>0</v>
      </c>
      <c r="I60" s="495">
        <v>0</v>
      </c>
      <c r="J60" s="495">
        <v>0</v>
      </c>
      <c r="K60" s="500"/>
    </row>
    <row r="61" spans="1:11" s="2" customFormat="1">
      <c r="A61" s="3">
        <v>9</v>
      </c>
      <c r="B61" s="818" t="s">
        <v>594</v>
      </c>
      <c r="C61" s="121" t="s">
        <v>125</v>
      </c>
      <c r="D61" s="494">
        <v>0</v>
      </c>
      <c r="E61" s="495">
        <v>0</v>
      </c>
      <c r="F61" s="495">
        <v>0</v>
      </c>
      <c r="G61" s="495">
        <v>0</v>
      </c>
      <c r="H61" s="495">
        <v>0</v>
      </c>
      <c r="I61" s="495">
        <v>0</v>
      </c>
      <c r="J61" s="495">
        <v>0</v>
      </c>
      <c r="K61" s="500"/>
    </row>
    <row r="62" spans="1:11" s="2" customFormat="1">
      <c r="A62" s="3">
        <v>10</v>
      </c>
      <c r="B62" s="818" t="s">
        <v>594</v>
      </c>
      <c r="C62" s="121" t="s">
        <v>125</v>
      </c>
      <c r="D62" s="494">
        <v>0</v>
      </c>
      <c r="E62" s="495">
        <v>0</v>
      </c>
      <c r="F62" s="495">
        <v>0</v>
      </c>
      <c r="G62" s="495">
        <v>0</v>
      </c>
      <c r="H62" s="495">
        <v>0</v>
      </c>
      <c r="I62" s="495">
        <v>0</v>
      </c>
      <c r="J62" s="495">
        <v>0</v>
      </c>
      <c r="K62" s="500"/>
    </row>
    <row r="63" spans="1:11" s="2" customFormat="1">
      <c r="A63" s="3">
        <v>11</v>
      </c>
      <c r="B63" s="818" t="s">
        <v>594</v>
      </c>
      <c r="C63" s="121" t="s">
        <v>125</v>
      </c>
      <c r="D63" s="494">
        <v>0</v>
      </c>
      <c r="E63" s="495">
        <v>0</v>
      </c>
      <c r="F63" s="495">
        <v>0</v>
      </c>
      <c r="G63" s="495">
        <v>0</v>
      </c>
      <c r="H63" s="495">
        <v>0</v>
      </c>
      <c r="I63" s="495">
        <v>0</v>
      </c>
      <c r="J63" s="495">
        <v>0</v>
      </c>
      <c r="K63" s="500"/>
    </row>
    <row r="64" spans="1:11" s="2" customFormat="1">
      <c r="A64" s="3">
        <v>12</v>
      </c>
      <c r="B64" s="818" t="s">
        <v>594</v>
      </c>
      <c r="C64" s="121" t="s">
        <v>125</v>
      </c>
      <c r="D64" s="494">
        <v>0</v>
      </c>
      <c r="E64" s="495">
        <v>0</v>
      </c>
      <c r="F64" s="495">
        <v>0</v>
      </c>
      <c r="G64" s="495">
        <v>0</v>
      </c>
      <c r="H64" s="495">
        <v>0</v>
      </c>
      <c r="I64" s="495">
        <v>0</v>
      </c>
      <c r="J64" s="495">
        <v>0</v>
      </c>
      <c r="K64" s="500"/>
    </row>
    <row r="65" spans="1:11" s="2" customFormat="1">
      <c r="A65" s="3">
        <v>13</v>
      </c>
      <c r="B65" s="818" t="s">
        <v>594</v>
      </c>
      <c r="C65" s="121" t="s">
        <v>125</v>
      </c>
      <c r="D65" s="494">
        <v>0</v>
      </c>
      <c r="E65" s="495">
        <v>0</v>
      </c>
      <c r="F65" s="495">
        <v>0</v>
      </c>
      <c r="G65" s="495">
        <v>0</v>
      </c>
      <c r="H65" s="495">
        <v>0</v>
      </c>
      <c r="I65" s="495">
        <v>0</v>
      </c>
      <c r="J65" s="495">
        <v>0</v>
      </c>
      <c r="K65" s="500"/>
    </row>
    <row r="66" spans="1:11" s="2" customFormat="1">
      <c r="A66" s="3">
        <v>14</v>
      </c>
      <c r="B66" s="818" t="s">
        <v>594</v>
      </c>
      <c r="C66" s="121" t="s">
        <v>125</v>
      </c>
      <c r="D66" s="494">
        <v>0</v>
      </c>
      <c r="E66" s="495">
        <v>0</v>
      </c>
      <c r="F66" s="495">
        <v>0</v>
      </c>
      <c r="G66" s="495">
        <v>0</v>
      </c>
      <c r="H66" s="495">
        <v>0</v>
      </c>
      <c r="I66" s="495">
        <v>0</v>
      </c>
      <c r="J66" s="495">
        <v>0</v>
      </c>
      <c r="K66" s="500"/>
    </row>
    <row r="67" spans="1:11" s="2" customFormat="1">
      <c r="A67" s="3">
        <v>15</v>
      </c>
      <c r="B67" s="818" t="s">
        <v>594</v>
      </c>
      <c r="C67" s="121" t="s">
        <v>125</v>
      </c>
      <c r="D67" s="494">
        <v>0</v>
      </c>
      <c r="E67" s="495">
        <v>0</v>
      </c>
      <c r="F67" s="495">
        <v>0</v>
      </c>
      <c r="G67" s="495">
        <v>0</v>
      </c>
      <c r="H67" s="495">
        <v>0</v>
      </c>
      <c r="I67" s="495">
        <v>0</v>
      </c>
      <c r="J67" s="495">
        <v>0</v>
      </c>
      <c r="K67" s="500"/>
    </row>
    <row r="68" spans="1:11" s="2" customFormat="1">
      <c r="A68" s="3">
        <v>16</v>
      </c>
      <c r="B68" s="818" t="s">
        <v>594</v>
      </c>
      <c r="C68" s="121" t="s">
        <v>125</v>
      </c>
      <c r="D68" s="494">
        <v>0</v>
      </c>
      <c r="E68" s="495">
        <v>0</v>
      </c>
      <c r="F68" s="495">
        <v>0</v>
      </c>
      <c r="G68" s="495">
        <v>0</v>
      </c>
      <c r="H68" s="495">
        <v>0</v>
      </c>
      <c r="I68" s="495">
        <v>0</v>
      </c>
      <c r="J68" s="495">
        <v>0</v>
      </c>
      <c r="K68" s="500"/>
    </row>
    <row r="69" spans="1:11" s="2" customFormat="1">
      <c r="A69" s="3">
        <v>17</v>
      </c>
      <c r="B69" s="818" t="s">
        <v>594</v>
      </c>
      <c r="C69" s="121" t="s">
        <v>125</v>
      </c>
      <c r="D69" s="494">
        <v>0</v>
      </c>
      <c r="E69" s="495">
        <v>0</v>
      </c>
      <c r="F69" s="495">
        <v>0</v>
      </c>
      <c r="G69" s="495">
        <v>0</v>
      </c>
      <c r="H69" s="495">
        <v>0</v>
      </c>
      <c r="I69" s="495">
        <v>0</v>
      </c>
      <c r="J69" s="495">
        <v>0</v>
      </c>
      <c r="K69" s="500"/>
    </row>
    <row r="70" spans="1:11" s="2" customFormat="1">
      <c r="A70" s="3">
        <v>18</v>
      </c>
      <c r="B70" s="818" t="s">
        <v>594</v>
      </c>
      <c r="C70" s="121" t="s">
        <v>125</v>
      </c>
      <c r="D70" s="494">
        <v>0</v>
      </c>
      <c r="E70" s="495">
        <v>0</v>
      </c>
      <c r="F70" s="495">
        <v>0</v>
      </c>
      <c r="G70" s="495">
        <v>0</v>
      </c>
      <c r="H70" s="495">
        <v>0</v>
      </c>
      <c r="I70" s="495">
        <v>0</v>
      </c>
      <c r="J70" s="495">
        <v>0</v>
      </c>
      <c r="K70" s="500"/>
    </row>
    <row r="71" spans="1:11" s="2" customFormat="1">
      <c r="A71" s="3">
        <v>19</v>
      </c>
      <c r="B71" s="818" t="s">
        <v>594</v>
      </c>
      <c r="C71" s="121" t="s">
        <v>125</v>
      </c>
      <c r="D71" s="494">
        <v>0</v>
      </c>
      <c r="E71" s="495">
        <v>0</v>
      </c>
      <c r="F71" s="495">
        <v>0</v>
      </c>
      <c r="G71" s="495">
        <v>0</v>
      </c>
      <c r="H71" s="495">
        <v>0</v>
      </c>
      <c r="I71" s="495">
        <v>0</v>
      </c>
      <c r="J71" s="495">
        <v>0</v>
      </c>
      <c r="K71" s="500"/>
    </row>
    <row r="72" spans="1:11" s="2" customFormat="1">
      <c r="A72" s="3">
        <v>20</v>
      </c>
      <c r="B72" s="818" t="s">
        <v>594</v>
      </c>
      <c r="C72" s="121" t="s">
        <v>125</v>
      </c>
      <c r="D72" s="494">
        <v>0</v>
      </c>
      <c r="E72" s="495">
        <v>0</v>
      </c>
      <c r="F72" s="495">
        <v>0</v>
      </c>
      <c r="G72" s="495">
        <v>0</v>
      </c>
      <c r="H72" s="495">
        <v>0</v>
      </c>
      <c r="I72" s="495">
        <v>0</v>
      </c>
      <c r="J72" s="495">
        <v>0</v>
      </c>
      <c r="K72" s="500"/>
    </row>
    <row r="73" spans="1:11" s="2" customFormat="1">
      <c r="A73" s="3">
        <v>21</v>
      </c>
      <c r="B73" s="818" t="s">
        <v>594</v>
      </c>
      <c r="C73" s="121" t="s">
        <v>125</v>
      </c>
      <c r="D73" s="494">
        <v>0</v>
      </c>
      <c r="E73" s="495">
        <v>0</v>
      </c>
      <c r="F73" s="495">
        <v>0</v>
      </c>
      <c r="G73" s="495">
        <v>0</v>
      </c>
      <c r="H73" s="495">
        <v>0</v>
      </c>
      <c r="I73" s="495">
        <v>0</v>
      </c>
      <c r="J73" s="495">
        <v>0</v>
      </c>
      <c r="K73" s="500"/>
    </row>
    <row r="74" spans="1:11" s="2" customFormat="1">
      <c r="A74" s="3">
        <v>22</v>
      </c>
      <c r="B74" s="818" t="s">
        <v>594</v>
      </c>
      <c r="C74" s="121" t="s">
        <v>125</v>
      </c>
      <c r="D74" s="494">
        <v>0</v>
      </c>
      <c r="E74" s="495">
        <v>0</v>
      </c>
      <c r="F74" s="495">
        <v>0</v>
      </c>
      <c r="G74" s="495">
        <v>0</v>
      </c>
      <c r="H74" s="495">
        <v>0</v>
      </c>
      <c r="I74" s="495">
        <v>0</v>
      </c>
      <c r="J74" s="495">
        <v>0</v>
      </c>
      <c r="K74" s="500"/>
    </row>
    <row r="75" spans="1:11" s="2" customFormat="1">
      <c r="A75" s="3">
        <v>23</v>
      </c>
      <c r="B75" s="818" t="s">
        <v>594</v>
      </c>
      <c r="C75" s="121" t="s">
        <v>125</v>
      </c>
      <c r="D75" s="494">
        <v>0</v>
      </c>
      <c r="E75" s="495">
        <v>0</v>
      </c>
      <c r="F75" s="495">
        <v>0</v>
      </c>
      <c r="G75" s="495">
        <v>0</v>
      </c>
      <c r="H75" s="495">
        <v>0</v>
      </c>
      <c r="I75" s="495">
        <v>0</v>
      </c>
      <c r="J75" s="495">
        <v>0</v>
      </c>
      <c r="K75" s="500"/>
    </row>
    <row r="76" spans="1:11" s="2" customFormat="1">
      <c r="A76" s="3">
        <v>24</v>
      </c>
      <c r="B76" s="818" t="s">
        <v>594</v>
      </c>
      <c r="C76" s="121" t="s">
        <v>125</v>
      </c>
      <c r="D76" s="494">
        <v>0</v>
      </c>
      <c r="E76" s="495">
        <v>0</v>
      </c>
      <c r="F76" s="495">
        <v>0</v>
      </c>
      <c r="G76" s="495">
        <v>0</v>
      </c>
      <c r="H76" s="495">
        <v>0</v>
      </c>
      <c r="I76" s="495">
        <v>0</v>
      </c>
      <c r="J76" s="495">
        <v>0</v>
      </c>
      <c r="K76" s="500"/>
    </row>
    <row r="77" spans="1:11" s="2" customFormat="1">
      <c r="A77" s="3">
        <v>25</v>
      </c>
      <c r="B77" s="818" t="s">
        <v>594</v>
      </c>
      <c r="C77" s="121" t="s">
        <v>125</v>
      </c>
      <c r="D77" s="834">
        <v>0</v>
      </c>
      <c r="E77" s="835">
        <v>0</v>
      </c>
      <c r="F77" s="835">
        <v>0</v>
      </c>
      <c r="G77" s="835">
        <v>0</v>
      </c>
      <c r="H77" s="835">
        <v>0</v>
      </c>
      <c r="I77" s="835">
        <v>0</v>
      </c>
      <c r="J77" s="835">
        <v>0</v>
      </c>
      <c r="K77" s="504"/>
    </row>
    <row r="78" spans="1:11" s="2" customFormat="1">
      <c r="B78" s="12" t="s">
        <v>167</v>
      </c>
      <c r="C78" s="121" t="s">
        <v>125</v>
      </c>
      <c r="D78" s="501">
        <f>SUM(D53:D77)</f>
        <v>84.508651632369023</v>
      </c>
      <c r="E78" s="502">
        <f t="shared" ref="E78:K78" si="6">SUM(E53:E77)</f>
        <v>77.710051093372414</v>
      </c>
      <c r="F78" s="502">
        <f t="shared" si="6"/>
        <v>84.940495021663992</v>
      </c>
      <c r="G78" s="502">
        <f t="shared" si="6"/>
        <v>85.905906546426039</v>
      </c>
      <c r="H78" s="502">
        <f t="shared" si="6"/>
        <v>84.363151909408018</v>
      </c>
      <c r="I78" s="502">
        <f t="shared" si="6"/>
        <v>88.440815006799326</v>
      </c>
      <c r="J78" s="502">
        <f t="shared" si="6"/>
        <v>87.993485989900407</v>
      </c>
      <c r="K78" s="503">
        <f t="shared" si="6"/>
        <v>0</v>
      </c>
    </row>
    <row r="79" spans="1:11" s="2" customFormat="1">
      <c r="C79" s="109"/>
      <c r="D79" s="42"/>
      <c r="E79" s="42"/>
      <c r="F79" s="42"/>
      <c r="G79" s="42"/>
      <c r="H79" s="42"/>
      <c r="I79" s="42"/>
      <c r="J79" s="42"/>
      <c r="K79" s="42"/>
    </row>
    <row r="80" spans="1:11" s="2" customFormat="1">
      <c r="B80" s="12" t="s">
        <v>395</v>
      </c>
      <c r="C80" s="121" t="s">
        <v>125</v>
      </c>
      <c r="D80" s="501">
        <f>D48-D78</f>
        <v>240.21135828191137</v>
      </c>
      <c r="E80" s="502">
        <f t="shared" ref="E80:K80" si="7">E48-E78</f>
        <v>256.61387470175555</v>
      </c>
      <c r="F80" s="502">
        <f t="shared" si="7"/>
        <v>270.43841314370786</v>
      </c>
      <c r="G80" s="502">
        <f t="shared" si="7"/>
        <v>290.94077681712832</v>
      </c>
      <c r="H80" s="502">
        <f t="shared" si="7"/>
        <v>272.31478994766223</v>
      </c>
      <c r="I80" s="502">
        <f t="shared" si="7"/>
        <v>249.70969718366342</v>
      </c>
      <c r="J80" s="502">
        <f t="shared" si="7"/>
        <v>265.98471849649962</v>
      </c>
      <c r="K80" s="503">
        <f t="shared" si="7"/>
        <v>0</v>
      </c>
    </row>
    <row r="81" spans="2:11" s="2" customFormat="1">
      <c r="B81" s="12" t="s">
        <v>483</v>
      </c>
      <c r="C81" s="121" t="s">
        <v>125</v>
      </c>
      <c r="D81" s="514">
        <f>'R4 - Totex'!D90+'R4 - Totex'!D118</f>
        <v>240.11642136538276</v>
      </c>
      <c r="E81" s="515">
        <f>'R4 - Totex'!E90+'R4 - Totex'!E118</f>
        <v>256.61387466175569</v>
      </c>
      <c r="F81" s="515">
        <f>'R4 - Totex'!F90+'R4 - Totex'!F118</f>
        <v>270.44276693581941</v>
      </c>
      <c r="G81" s="515">
        <f>'R4 - Totex'!G90+'R4 - Totex'!G118</f>
        <v>290.88877681712836</v>
      </c>
      <c r="H81" s="515">
        <f>'R4 - Totex'!H90+'R4 - Totex'!H118</f>
        <v>272.29014395766211</v>
      </c>
      <c r="I81" s="515">
        <f>'R4 - Totex'!I90+'R4 - Totex'!I118</f>
        <v>249.70885628554799</v>
      </c>
      <c r="J81" s="515">
        <f>'R4 - Totex'!J90+'R4 - Totex'!J118</f>
        <v>266.0259799910786</v>
      </c>
      <c r="K81" s="515">
        <f>'R4 - Totex'!K90+'R4 - Totex'!K118</f>
        <v>302.72761226125846</v>
      </c>
    </row>
    <row r="82" spans="2:11" s="2" customFormat="1">
      <c r="C82" s="109" t="s">
        <v>396</v>
      </c>
      <c r="D82" s="470" t="str">
        <f>IF(D$5="Actuals",IF(ABS(D80-('R4 - Totex'!D90+'R4 - Totex'!D118))&lt;'RFPR cover'!$F$14,"OK","Error"),"N/A")</f>
        <v>OK</v>
      </c>
      <c r="E82" s="470" t="str">
        <f>IF(E$5="Actuals",IF(ABS(E80-('R4 - Totex'!E90+'R4 - Totex'!E118))&lt;'RFPR cover'!$F$14,"OK","Error"),"N/A")</f>
        <v>OK</v>
      </c>
      <c r="F82" s="470" t="str">
        <f>IF(F$5="Actuals",IF(ABS(F80-('R4 - Totex'!F90+'R4 - Totex'!F118))&lt;'RFPR cover'!$F$14,"OK","Error"),"N/A")</f>
        <v>OK</v>
      </c>
      <c r="G82" s="470" t="str">
        <f>IF(G$5="Actuals",IF(ABS(G80-('R4 - Totex'!G90+'R4 - Totex'!G118))&lt;'RFPR cover'!$F$14,"OK","Error"),"N/A")</f>
        <v>OK</v>
      </c>
      <c r="H82" s="470" t="str">
        <f>IF(H$5="Actuals",IF(ABS(H80-('R4 - Totex'!H90+'R4 - Totex'!H118))&lt;'RFPR cover'!$F$14,"OK","Error"),"N/A")</f>
        <v>OK</v>
      </c>
      <c r="I82" s="470" t="str">
        <f>IF(I$5="Actuals",IF(ABS(I80-('R4 - Totex'!I90+'R4 - Totex'!I118))&lt;'RFPR cover'!$F$14,"OK","Error"),"N/A")</f>
        <v>OK</v>
      </c>
      <c r="J82" s="470" t="str">
        <f>IF(J$5="Actuals",IF(ABS(J80-('R4 - Totex'!J90+'R4 - Totex'!J118))&lt;'RFPR cover'!$F$14,"OK","Error"),"N/A")</f>
        <v>OK</v>
      </c>
      <c r="K82" s="470" t="str">
        <f>IF(K$5="Actuals",IF(ABS(K80-('R4 - Totex'!K90+'R4 - Totex'!K118))&lt;'RFPR cover'!$F$14,"OK","Error"),"N/A")</f>
        <v>N/A</v>
      </c>
    </row>
    <row r="83" spans="2:11" s="2" customFormat="1">
      <c r="C83" s="109"/>
    </row>
    <row r="84" spans="2:11">
      <c r="D84" s="176"/>
      <c r="E84" s="176"/>
      <c r="F84" s="176"/>
      <c r="G84" s="176"/>
      <c r="H84" s="176"/>
      <c r="I84" s="176"/>
      <c r="J84" s="176"/>
      <c r="K84" s="176"/>
    </row>
    <row r="85" spans="2:11">
      <c r="D85" s="176"/>
      <c r="E85" s="176"/>
      <c r="F85" s="176"/>
      <c r="G85" s="176"/>
      <c r="H85" s="176"/>
      <c r="I85" s="176"/>
      <c r="J85" s="176"/>
      <c r="K85" s="176"/>
    </row>
    <row r="86" spans="2:11">
      <c r="D86" s="176"/>
      <c r="E86" s="176"/>
      <c r="F86" s="176"/>
      <c r="G86" s="176"/>
      <c r="H86" s="176"/>
      <c r="I86" s="176"/>
      <c r="J86" s="176"/>
      <c r="K86" s="176"/>
    </row>
  </sheetData>
  <conditionalFormatting sqref="D6:J6">
    <cfRule type="expression" dxfId="85" priority="12">
      <formula>AND(D$5="Actuals",E$5="N/A")</formula>
    </cfRule>
  </conditionalFormatting>
  <conditionalFormatting sqref="D5:K5">
    <cfRule type="expression" dxfId="84" priority="11">
      <formula>AND(D$5="Actuals",E$5="N/A")</formula>
    </cfRule>
  </conditionalFormatting>
  <conditionalFormatting sqref="D23:K23 D9:K9 K10:K14 D10:J17 D18:K19">
    <cfRule type="expression" dxfId="83" priority="7">
      <formula>D$5="N/A"</formula>
    </cfRule>
  </conditionalFormatting>
  <conditionalFormatting sqref="K15:K17">
    <cfRule type="expression" dxfId="82" priority="6">
      <formula>K$5="N/A"</formula>
    </cfRule>
  </conditionalFormatting>
  <conditionalFormatting sqref="D20:K22">
    <cfRule type="expression" dxfId="81" priority="5">
      <formula>D$5="N/A"</formula>
    </cfRule>
  </conditionalFormatting>
  <conditionalFormatting sqref="D26:K46">
    <cfRule type="expression" dxfId="80" priority="4">
      <formula>D$5="N/A"</formula>
    </cfRule>
  </conditionalFormatting>
  <conditionalFormatting sqref="D48:K50">
    <cfRule type="expression" dxfId="79" priority="3">
      <formula>D$5="N/A"</formula>
    </cfRule>
  </conditionalFormatting>
  <conditionalFormatting sqref="D53:K78">
    <cfRule type="expression" dxfId="78" priority="2">
      <formula>D$5="N/A"</formula>
    </cfRule>
  </conditionalFormatting>
  <conditionalFormatting sqref="D80:K80 D82:K82">
    <cfRule type="expression" dxfId="77" priority="1">
      <formula>D$5="N/A"</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2"/>
  <sheetViews>
    <sheetView showGridLines="0" zoomScale="80" zoomScaleNormal="80" workbookViewId="0">
      <pane ySplit="6" topLeftCell="A7" activePane="bottomLeft" state="frozen"/>
      <selection activeCell="B75" sqref="A1:XFD1048576"/>
      <selection pane="bottomLeft"/>
    </sheetView>
  </sheetViews>
  <sheetFormatPr defaultColWidth="9.125" defaultRowHeight="12.75"/>
  <cols>
    <col min="1" max="1" width="8.375" style="2" customWidth="1"/>
    <col min="2" max="2" width="75.5" style="106" customWidth="1"/>
    <col min="3" max="3" width="13.375" style="109" customWidth="1"/>
    <col min="4" max="11" width="11.125" style="2" customWidth="1"/>
    <col min="12" max="13" width="12.875" style="2" customWidth="1"/>
    <col min="14" max="14" width="25.5" style="2" customWidth="1"/>
    <col min="15" max="16384" width="9.125" style="2"/>
  </cols>
  <sheetData>
    <row r="1" spans="1:20" customFormat="1" ht="20.25">
      <c r="A1" s="698" t="s">
        <v>96</v>
      </c>
      <c r="B1" s="687"/>
      <c r="C1" s="220"/>
      <c r="D1" s="209"/>
      <c r="E1" s="209"/>
      <c r="F1" s="209"/>
      <c r="G1" s="209"/>
      <c r="H1" s="209"/>
      <c r="I1" s="699"/>
      <c r="J1" s="699"/>
      <c r="K1" s="700"/>
      <c r="L1" s="700"/>
      <c r="M1" s="700"/>
      <c r="N1" s="700"/>
      <c r="O1" s="701"/>
    </row>
    <row r="2" spans="1:20" customFormat="1" ht="20.25">
      <c r="A2" s="674" t="str">
        <f>'RFPR cover'!C5</f>
        <v>SPMW</v>
      </c>
      <c r="B2" s="712"/>
      <c r="C2" s="755"/>
      <c r="D2" s="703"/>
      <c r="E2" s="703"/>
      <c r="F2" s="703"/>
      <c r="G2" s="703"/>
      <c r="H2" s="703"/>
      <c r="I2" s="704"/>
      <c r="J2" s="704"/>
      <c r="K2" s="704"/>
      <c r="L2" s="704"/>
      <c r="M2" s="704"/>
      <c r="N2" s="704"/>
      <c r="O2" s="705"/>
    </row>
    <row r="3" spans="1:20" customFormat="1" ht="20.25">
      <c r="A3" s="677">
        <f>'RFPR cover'!C7</f>
        <v>2022</v>
      </c>
      <c r="B3" s="686"/>
      <c r="C3" s="219"/>
      <c r="D3" s="212"/>
      <c r="E3" s="212"/>
      <c r="F3" s="212"/>
      <c r="G3" s="212"/>
      <c r="H3" s="212"/>
      <c r="I3" s="707"/>
      <c r="J3" s="707"/>
      <c r="K3" s="707"/>
      <c r="L3" s="707"/>
      <c r="M3" s="707"/>
      <c r="N3" s="707"/>
      <c r="O3" s="708"/>
    </row>
    <row r="4" spans="1:20" ht="12.75" customHeight="1"/>
    <row r="5" spans="1:20" ht="12.75" customHeight="1">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row>
    <row r="6" spans="1:20" ht="27.75" customHeight="1">
      <c r="D6" s="99">
        <f>'RFPR cover'!$C$13</f>
        <v>2016</v>
      </c>
      <c r="E6" s="100">
        <f>D6+1</f>
        <v>2017</v>
      </c>
      <c r="F6" s="100">
        <f t="shared" ref="F6:K6" si="0">E6+1</f>
        <v>2018</v>
      </c>
      <c r="G6" s="100">
        <f t="shared" si="0"/>
        <v>2019</v>
      </c>
      <c r="H6" s="100">
        <f t="shared" si="0"/>
        <v>2020</v>
      </c>
      <c r="I6" s="100">
        <f t="shared" si="0"/>
        <v>2021</v>
      </c>
      <c r="J6" s="100">
        <f t="shared" si="0"/>
        <v>2022</v>
      </c>
      <c r="K6" s="100">
        <f t="shared" si="0"/>
        <v>2023</v>
      </c>
      <c r="L6" s="84" t="str">
        <f>"Cumulative to "&amp;'RFPR cover'!$C$7</f>
        <v>Cumulative to 2022</v>
      </c>
      <c r="M6" s="101" t="s">
        <v>106</v>
      </c>
      <c r="N6" s="101" t="s">
        <v>305</v>
      </c>
    </row>
    <row r="8" spans="1:20">
      <c r="B8" s="756" t="s">
        <v>383</v>
      </c>
      <c r="C8" s="232"/>
      <c r="D8" s="261"/>
      <c r="E8" s="261"/>
      <c r="F8" s="261"/>
      <c r="G8" s="261"/>
      <c r="H8" s="261"/>
      <c r="I8" s="261"/>
      <c r="J8" s="261"/>
      <c r="K8" s="261"/>
      <c r="L8" s="261"/>
      <c r="M8" s="261"/>
      <c r="N8" s="261"/>
    </row>
    <row r="10" spans="1:20">
      <c r="B10" s="592" t="str">
        <f>Data!B48</f>
        <v>Totex</v>
      </c>
      <c r="C10" s="119"/>
      <c r="D10" s="64"/>
      <c r="E10" s="64"/>
      <c r="F10" s="64"/>
      <c r="G10" s="64"/>
      <c r="H10" s="64"/>
      <c r="I10" s="64"/>
      <c r="J10" s="64"/>
      <c r="K10" s="64"/>
      <c r="L10" s="64"/>
      <c r="M10" s="64"/>
      <c r="N10" s="64"/>
    </row>
    <row r="11" spans="1:20">
      <c r="B11" s="319"/>
      <c r="D11" s="1"/>
      <c r="E11" s="1"/>
      <c r="F11" s="1"/>
      <c r="G11" s="1"/>
      <c r="H11" s="1"/>
      <c r="I11" s="1"/>
      <c r="J11" s="1"/>
      <c r="K11" s="1"/>
      <c r="L11" s="1"/>
      <c r="M11" s="1"/>
      <c r="N11" s="1"/>
    </row>
    <row r="12" spans="1:20">
      <c r="B12" s="174" t="s">
        <v>32</v>
      </c>
      <c r="C12" s="737" t="str">
        <f>'RFPR cover'!$C$14</f>
        <v>£m 12/13</v>
      </c>
      <c r="D12" s="985">
        <v>226.45725639211292</v>
      </c>
      <c r="E12" s="986">
        <v>236.93922753466165</v>
      </c>
      <c r="F12" s="986">
        <v>240.70083082348137</v>
      </c>
      <c r="G12" s="986">
        <v>251.22203209133127</v>
      </c>
      <c r="H12" s="986">
        <v>229.22561423621147</v>
      </c>
      <c r="I12" s="986">
        <v>207.69693284419191</v>
      </c>
      <c r="J12" s="986">
        <v>209.18580568622781</v>
      </c>
      <c r="K12" s="987">
        <v>219.80205031707592</v>
      </c>
      <c r="L12" s="90">
        <f>SUM(D12:INDEX(D12:K12,0,MATCH('RFPR cover'!$C$7,$D$6:$K$6,0)))</f>
        <v>1601.4276996082185</v>
      </c>
      <c r="M12" s="91">
        <f>SUM(D12:K12)</f>
        <v>1821.2297499252945</v>
      </c>
      <c r="N12" s="46"/>
      <c r="O12" s="46"/>
    </row>
    <row r="13" spans="1:20" ht="25.5">
      <c r="B13" s="757" t="s">
        <v>495</v>
      </c>
      <c r="C13" s="737" t="str">
        <f>'RFPR cover'!$C$14</f>
        <v>£m 12/13</v>
      </c>
      <c r="D13" s="988">
        <v>236.3069334526231</v>
      </c>
      <c r="E13" s="989">
        <v>245.62444492525447</v>
      </c>
      <c r="F13" s="989">
        <v>225.14635575856676</v>
      </c>
      <c r="G13" s="989">
        <v>207.34636601224832</v>
      </c>
      <c r="H13" s="989">
        <v>206.47826911013394</v>
      </c>
      <c r="I13" s="989">
        <v>209.7804889736702</v>
      </c>
      <c r="J13" s="989">
        <v>204.1575718494519</v>
      </c>
      <c r="K13" s="990">
        <v>192.5474741198046</v>
      </c>
      <c r="L13" s="88">
        <f>SUM(D13:INDEX(D13:K13,0,MATCH('RFPR cover'!$C$7,$D$6:$K$6,0)))</f>
        <v>1534.8404300819484</v>
      </c>
      <c r="M13" s="89">
        <f>SUM(D13:K13)</f>
        <v>1727.3879042017529</v>
      </c>
      <c r="N13" s="46"/>
      <c r="O13" s="46"/>
    </row>
    <row r="14" spans="1:20">
      <c r="B14" s="628" t="s">
        <v>191</v>
      </c>
      <c r="C14" s="737" t="str">
        <f>'RFPR cover'!$C$14</f>
        <v>£m 12/13</v>
      </c>
      <c r="D14" s="85">
        <f>D13-D12</f>
        <v>9.8496770605101744</v>
      </c>
      <c r="E14" s="86">
        <f t="shared" ref="E14:M14" si="1">E13-E12</f>
        <v>8.6852173905928112</v>
      </c>
      <c r="F14" s="86">
        <f t="shared" si="1"/>
        <v>-15.554475064914612</v>
      </c>
      <c r="G14" s="86">
        <f t="shared" si="1"/>
        <v>-43.875666079082947</v>
      </c>
      <c r="H14" s="86">
        <f t="shared" si="1"/>
        <v>-22.747345126077533</v>
      </c>
      <c r="I14" s="86">
        <f t="shared" si="1"/>
        <v>2.0835561294782963</v>
      </c>
      <c r="J14" s="86">
        <f t="shared" si="1"/>
        <v>-5.028233836775911</v>
      </c>
      <c r="K14" s="86">
        <f t="shared" si="1"/>
        <v>-27.254576197271319</v>
      </c>
      <c r="L14" s="85">
        <f t="shared" si="1"/>
        <v>-66.58726952627012</v>
      </c>
      <c r="M14" s="87">
        <f t="shared" si="1"/>
        <v>-93.84184572354161</v>
      </c>
      <c r="N14" s="46"/>
      <c r="O14" s="980"/>
      <c r="P14" s="980"/>
      <c r="Q14" s="980"/>
      <c r="R14"/>
      <c r="S14"/>
      <c r="T14"/>
    </row>
    <row r="15" spans="1:20">
      <c r="B15" s="628"/>
      <c r="C15" s="736"/>
      <c r="D15" s="758"/>
      <c r="E15" s="758"/>
      <c r="F15" s="758"/>
      <c r="G15" s="758"/>
      <c r="H15" s="758"/>
      <c r="I15" s="758"/>
      <c r="J15" s="758"/>
      <c r="K15" s="758"/>
      <c r="L15" s="758"/>
      <c r="M15" s="758"/>
      <c r="O15" s="47"/>
      <c r="P15" s="47"/>
      <c r="Q15" s="47"/>
      <c r="R15"/>
      <c r="S15"/>
      <c r="T15"/>
    </row>
    <row r="16" spans="1:20">
      <c r="B16" s="106" t="s">
        <v>174</v>
      </c>
      <c r="C16" s="109" t="s">
        <v>7</v>
      </c>
      <c r="D16" s="92">
        <f>1-INDEX(Data!$D$73:$D$100,MATCH('RFPR cover'!$C$5,Data!$B$73:$B$100,0),0)</f>
        <v>0.46499999999999997</v>
      </c>
      <c r="E16" s="93">
        <f>1-INDEX(Data!$D$73:$D$100,MATCH('RFPR cover'!$C$5,Data!$B$73:$B$100,0),0)</f>
        <v>0.46499999999999997</v>
      </c>
      <c r="F16" s="93">
        <f>1-INDEX(Data!$D$73:$D$100,MATCH('RFPR cover'!$C$5,Data!$B$73:$B$100,0),0)</f>
        <v>0.46499999999999997</v>
      </c>
      <c r="G16" s="93">
        <f>1-INDEX(Data!$D$73:$D$100,MATCH('RFPR cover'!$C$5,Data!$B$73:$B$100,0),0)</f>
        <v>0.46499999999999997</v>
      </c>
      <c r="H16" s="93">
        <f>1-INDEX(Data!$D$73:$D$100,MATCH('RFPR cover'!$C$5,Data!$B$73:$B$100,0),0)</f>
        <v>0.46499999999999997</v>
      </c>
      <c r="I16" s="93">
        <f>1-INDEX(Data!$D$73:$D$100,MATCH('RFPR cover'!$C$5,Data!$B$73:$B$100,0),0)</f>
        <v>0.46499999999999997</v>
      </c>
      <c r="J16" s="93">
        <f>1-INDEX(Data!$D$73:$D$100,MATCH('RFPR cover'!$C$5,Data!$B$73:$B$100,0),0)</f>
        <v>0.46499999999999997</v>
      </c>
      <c r="K16" s="94">
        <f>1-INDEX(Data!$D$73:$D$100,MATCH('RFPR cover'!$C$5,Data!$B$73:$B$100,0),0)</f>
        <v>0.46499999999999997</v>
      </c>
      <c r="L16" s="45"/>
      <c r="M16" s="45"/>
      <c r="O16"/>
      <c r="P16"/>
      <c r="Q16"/>
      <c r="R16"/>
      <c r="S16"/>
      <c r="T16"/>
    </row>
    <row r="17" spans="1:20">
      <c r="O17"/>
      <c r="P17"/>
      <c r="Q17"/>
      <c r="R17"/>
      <c r="S17"/>
      <c r="T17"/>
    </row>
    <row r="18" spans="1:20">
      <c r="B18" s="106" t="s">
        <v>179</v>
      </c>
      <c r="C18" s="737" t="str">
        <f>'RFPR cover'!$C$14</f>
        <v>£m 12/13</v>
      </c>
      <c r="D18" s="78">
        <f>D14*D16</f>
        <v>4.5800998331372309</v>
      </c>
      <c r="E18" s="79">
        <f t="shared" ref="E18:K18" si="2">E14*E16</f>
        <v>4.0386260866256567</v>
      </c>
      <c r="F18" s="79">
        <f t="shared" si="2"/>
        <v>-7.2328309051852946</v>
      </c>
      <c r="G18" s="79">
        <f t="shared" si="2"/>
        <v>-20.402184726773569</v>
      </c>
      <c r="H18" s="79">
        <f t="shared" si="2"/>
        <v>-10.577515483626053</v>
      </c>
      <c r="I18" s="79">
        <f t="shared" si="2"/>
        <v>0.96885360020740774</v>
      </c>
      <c r="J18" s="79">
        <f t="shared" si="2"/>
        <v>-2.3381287341007986</v>
      </c>
      <c r="K18" s="79">
        <f t="shared" si="2"/>
        <v>-12.673377931731162</v>
      </c>
      <c r="L18" s="78">
        <f>SUM(D18:INDEX(D18:K18,0,MATCH('RFPR cover'!$C$7,$D$6:$K$6,0)))</f>
        <v>-30.963080329715421</v>
      </c>
      <c r="M18" s="80">
        <f>SUM(D18:K18)</f>
        <v>-43.636458261446585</v>
      </c>
      <c r="O18"/>
      <c r="P18"/>
      <c r="Q18"/>
      <c r="R18"/>
      <c r="S18"/>
      <c r="T18"/>
    </row>
    <row r="19" spans="1:20">
      <c r="B19" s="106" t="s">
        <v>274</v>
      </c>
      <c r="C19" s="737" t="str">
        <f>'RFPR cover'!$C$14</f>
        <v>£m 12/13</v>
      </c>
      <c r="D19" s="75">
        <f>D14*(1-D16)</f>
        <v>5.2695772273729435</v>
      </c>
      <c r="E19" s="76">
        <f t="shared" ref="E19:K19" si="3">E14*(1-E16)</f>
        <v>4.6465913039671545</v>
      </c>
      <c r="F19" s="76">
        <f t="shared" si="3"/>
        <v>-8.3216441597293187</v>
      </c>
      <c r="G19" s="76">
        <f t="shared" si="3"/>
        <v>-23.473481352309378</v>
      </c>
      <c r="H19" s="76">
        <f t="shared" si="3"/>
        <v>-12.16982964245148</v>
      </c>
      <c r="I19" s="76">
        <f t="shared" si="3"/>
        <v>1.1147025292708885</v>
      </c>
      <c r="J19" s="76">
        <f t="shared" si="3"/>
        <v>-2.6901051026751124</v>
      </c>
      <c r="K19" s="76">
        <f t="shared" si="3"/>
        <v>-14.581198265540158</v>
      </c>
      <c r="L19" s="75">
        <f>SUM(D19:INDEX(D19:K19,0,MATCH('RFPR cover'!$C$7,$D$6:$K$6,0)))</f>
        <v>-35.624189196554305</v>
      </c>
      <c r="M19" s="77">
        <f>SUM(D19:K19)</f>
        <v>-50.205387462094464</v>
      </c>
      <c r="O19"/>
      <c r="P19"/>
      <c r="Q19"/>
      <c r="R19"/>
      <c r="S19"/>
      <c r="T19"/>
    </row>
    <row r="20" spans="1:20">
      <c r="O20"/>
      <c r="P20"/>
      <c r="Q20"/>
      <c r="R20"/>
      <c r="S20"/>
      <c r="T20"/>
    </row>
    <row r="21" spans="1:20">
      <c r="B21" s="319" t="s">
        <v>178</v>
      </c>
      <c r="N21" s="46"/>
      <c r="O21"/>
      <c r="P21"/>
      <c r="Q21"/>
      <c r="R21"/>
      <c r="S21"/>
      <c r="T21"/>
    </row>
    <row r="22" spans="1:20">
      <c r="A22" s="3" t="s">
        <v>148</v>
      </c>
      <c r="B22" s="819" t="s">
        <v>627</v>
      </c>
      <c r="C22" s="737" t="str">
        <f>'RFPR cover'!$C$14</f>
        <v>£m 12/13</v>
      </c>
      <c r="D22" s="400">
        <v>-8.6578347055019265</v>
      </c>
      <c r="E22" s="986">
        <v>-7.997215514087145</v>
      </c>
      <c r="F22" s="986">
        <v>16.270436379072152</v>
      </c>
      <c r="G22" s="986">
        <v>45.011304258403186</v>
      </c>
      <c r="H22" s="986">
        <v>-1.3</v>
      </c>
      <c r="I22" s="986">
        <v>-26.1</v>
      </c>
      <c r="J22" s="986">
        <v>-7</v>
      </c>
      <c r="K22" s="987">
        <v>-10.199999999999999</v>
      </c>
      <c r="L22" s="482">
        <f>SUM(D22:INDEX(D22:K22,0,MATCH('RFPR cover'!$C$7,$D$6:$K$6,0)))</f>
        <v>10.226690417886267</v>
      </c>
      <c r="M22" s="483">
        <f t="shared" ref="M22:M27" si="4">SUM(D22:K22)</f>
        <v>2.6690417886268136E-2</v>
      </c>
      <c r="N22" s="471"/>
      <c r="O22"/>
      <c r="P22"/>
      <c r="Q22"/>
      <c r="R22"/>
      <c r="S22"/>
      <c r="T22"/>
    </row>
    <row r="23" spans="1:20">
      <c r="A23" s="3" t="s">
        <v>149</v>
      </c>
      <c r="B23" s="594" t="s">
        <v>238</v>
      </c>
      <c r="C23" s="737" t="str">
        <f>'RFPR cover'!$C$14</f>
        <v>£m 12/13</v>
      </c>
      <c r="D23" s="991">
        <v>0</v>
      </c>
      <c r="E23" s="992">
        <v>0</v>
      </c>
      <c r="F23" s="992">
        <v>0</v>
      </c>
      <c r="G23" s="992">
        <v>0</v>
      </c>
      <c r="H23" s="992">
        <v>0</v>
      </c>
      <c r="I23" s="992">
        <v>0</v>
      </c>
      <c r="J23" s="992">
        <v>0</v>
      </c>
      <c r="K23" s="993">
        <v>0</v>
      </c>
      <c r="L23" s="486">
        <f>SUM(D23:INDEX(D23:K23,0,MATCH('RFPR cover'!$C$7,$D$6:$K$6,0)))</f>
        <v>0</v>
      </c>
      <c r="M23" s="487">
        <f t="shared" si="4"/>
        <v>0</v>
      </c>
      <c r="N23" s="472"/>
      <c r="O23"/>
      <c r="P23"/>
      <c r="Q23"/>
      <c r="R23"/>
      <c r="S23"/>
      <c r="T23"/>
    </row>
    <row r="24" spans="1:20">
      <c r="A24" s="3" t="s">
        <v>150</v>
      </c>
      <c r="B24" s="594" t="s">
        <v>238</v>
      </c>
      <c r="C24" s="737" t="str">
        <f>'RFPR cover'!$C$14</f>
        <v>£m 12/13</v>
      </c>
      <c r="D24" s="991">
        <v>0</v>
      </c>
      <c r="E24" s="992">
        <v>0</v>
      </c>
      <c r="F24" s="992">
        <v>0</v>
      </c>
      <c r="G24" s="992">
        <v>0</v>
      </c>
      <c r="H24" s="992">
        <v>0</v>
      </c>
      <c r="I24" s="992">
        <v>0</v>
      </c>
      <c r="J24" s="992">
        <v>0</v>
      </c>
      <c r="K24" s="993">
        <v>0</v>
      </c>
      <c r="L24" s="486">
        <f>SUM(D24:INDEX(D24:K24,0,MATCH('RFPR cover'!$C$7,$D$6:$K$6,0)))</f>
        <v>0</v>
      </c>
      <c r="M24" s="487">
        <f t="shared" si="4"/>
        <v>0</v>
      </c>
      <c r="N24" s="472"/>
      <c r="O24"/>
      <c r="P24"/>
      <c r="Q24"/>
      <c r="R24"/>
      <c r="S24" s="48"/>
      <c r="T24"/>
    </row>
    <row r="25" spans="1:20">
      <c r="A25" s="3" t="s">
        <v>164</v>
      </c>
      <c r="B25" s="594" t="s">
        <v>238</v>
      </c>
      <c r="C25" s="737" t="str">
        <f>'RFPR cover'!$C$14</f>
        <v>£m 12/13</v>
      </c>
      <c r="D25" s="991">
        <v>0</v>
      </c>
      <c r="E25" s="992">
        <v>0</v>
      </c>
      <c r="F25" s="992">
        <v>0</v>
      </c>
      <c r="G25" s="992">
        <v>0</v>
      </c>
      <c r="H25" s="992">
        <v>0</v>
      </c>
      <c r="I25" s="992">
        <v>0</v>
      </c>
      <c r="J25" s="992">
        <v>0</v>
      </c>
      <c r="K25" s="993">
        <v>0</v>
      </c>
      <c r="L25" s="486">
        <f>SUM(D25:INDEX(D25:K25,0,MATCH('RFPR cover'!$C$7,$D$6:$K$6,0)))</f>
        <v>0</v>
      </c>
      <c r="M25" s="487">
        <f t="shared" si="4"/>
        <v>0</v>
      </c>
      <c r="N25" s="472"/>
      <c r="O25"/>
      <c r="P25"/>
      <c r="Q25"/>
      <c r="R25"/>
      <c r="S25"/>
      <c r="T25"/>
    </row>
    <row r="26" spans="1:20">
      <c r="A26" s="3" t="s">
        <v>165</v>
      </c>
      <c r="B26" s="594" t="s">
        <v>238</v>
      </c>
      <c r="C26" s="737" t="str">
        <f>'RFPR cover'!$C$14</f>
        <v>£m 12/13</v>
      </c>
      <c r="D26" s="991">
        <v>0</v>
      </c>
      <c r="E26" s="992">
        <v>0</v>
      </c>
      <c r="F26" s="992">
        <v>0</v>
      </c>
      <c r="G26" s="992">
        <v>0</v>
      </c>
      <c r="H26" s="992">
        <v>0</v>
      </c>
      <c r="I26" s="992">
        <v>0</v>
      </c>
      <c r="J26" s="992">
        <v>0</v>
      </c>
      <c r="K26" s="993">
        <v>0</v>
      </c>
      <c r="L26" s="486">
        <f>SUM(D26:INDEX(D26:K26,0,MATCH('RFPR cover'!$C$7,$D$6:$K$6,0)))</f>
        <v>0</v>
      </c>
      <c r="M26" s="487">
        <f t="shared" si="4"/>
        <v>0</v>
      </c>
      <c r="N26" s="472"/>
      <c r="O26"/>
      <c r="P26"/>
      <c r="Q26"/>
      <c r="R26"/>
      <c r="S26"/>
      <c r="T26"/>
    </row>
    <row r="27" spans="1:20">
      <c r="A27" s="3" t="s">
        <v>166</v>
      </c>
      <c r="B27" s="594" t="s">
        <v>238</v>
      </c>
      <c r="C27" s="737" t="str">
        <f>'RFPR cover'!$C$14</f>
        <v>£m 12/13</v>
      </c>
      <c r="D27" s="994">
        <v>0</v>
      </c>
      <c r="E27" s="989">
        <v>0</v>
      </c>
      <c r="F27" s="989">
        <v>0</v>
      </c>
      <c r="G27" s="989">
        <v>0</v>
      </c>
      <c r="H27" s="989">
        <v>0</v>
      </c>
      <c r="I27" s="989">
        <v>0</v>
      </c>
      <c r="J27" s="989">
        <v>0</v>
      </c>
      <c r="K27" s="990">
        <v>0</v>
      </c>
      <c r="L27" s="490">
        <f>SUM(D27:INDEX(D27:K27,0,MATCH('RFPR cover'!$C$7,$D$6:$K$6,0)))</f>
        <v>0</v>
      </c>
      <c r="M27" s="491">
        <f t="shared" si="4"/>
        <v>0</v>
      </c>
      <c r="N27" s="473"/>
      <c r="O27"/>
      <c r="P27"/>
      <c r="Q27"/>
      <c r="R27"/>
      <c r="S27"/>
      <c r="T27"/>
    </row>
    <row r="28" spans="1:20">
      <c r="B28" s="319" t="s">
        <v>186</v>
      </c>
      <c r="C28" s="737" t="str">
        <f>'RFPR cover'!$C$14</f>
        <v>£m 12/13</v>
      </c>
      <c r="D28" s="85">
        <f>SUM(D22:D27)</f>
        <v>-8.6578347055019265</v>
      </c>
      <c r="E28" s="86">
        <f t="shared" ref="E28:K28" si="5">SUM(E22:E27)</f>
        <v>-7.997215514087145</v>
      </c>
      <c r="F28" s="86">
        <f t="shared" si="5"/>
        <v>16.270436379072152</v>
      </c>
      <c r="G28" s="86">
        <f t="shared" si="5"/>
        <v>45.011304258403186</v>
      </c>
      <c r="H28" s="86">
        <f t="shared" si="5"/>
        <v>-1.3</v>
      </c>
      <c r="I28" s="86">
        <f t="shared" si="5"/>
        <v>-26.1</v>
      </c>
      <c r="J28" s="86">
        <f t="shared" si="5"/>
        <v>-7</v>
      </c>
      <c r="K28" s="86">
        <f t="shared" si="5"/>
        <v>-10.199999999999999</v>
      </c>
      <c r="L28" s="85">
        <f>SUM(D28:INDEX(D28:K28,0,MATCH('RFPR cover'!$C$7,$D$6:$K$6,0)))</f>
        <v>10.226690417886267</v>
      </c>
      <c r="M28" s="87">
        <f>SUM(D28:K28)</f>
        <v>2.6690417886268136E-2</v>
      </c>
      <c r="N28" s="46"/>
    </row>
    <row r="30" spans="1:20">
      <c r="B30" s="106" t="s">
        <v>194</v>
      </c>
      <c r="C30" s="737" t="str">
        <f>'RFPR cover'!$C$14</f>
        <v>£m 12/13</v>
      </c>
      <c r="D30" s="78">
        <f t="shared" ref="D30:K30" si="6">D28*D16</f>
        <v>-4.0258931380583958</v>
      </c>
      <c r="E30" s="79">
        <f t="shared" si="6"/>
        <v>-3.7187052140505221</v>
      </c>
      <c r="F30" s="79">
        <f t="shared" si="6"/>
        <v>7.5657529162685497</v>
      </c>
      <c r="G30" s="79">
        <f t="shared" si="6"/>
        <v>20.930256480157482</v>
      </c>
      <c r="H30" s="79">
        <f t="shared" si="6"/>
        <v>-0.60449999999999993</v>
      </c>
      <c r="I30" s="79">
        <f t="shared" si="6"/>
        <v>-12.1365</v>
      </c>
      <c r="J30" s="79">
        <f t="shared" si="6"/>
        <v>-3.2549999999999999</v>
      </c>
      <c r="K30" s="79">
        <f t="shared" si="6"/>
        <v>-4.7429999999999994</v>
      </c>
      <c r="L30" s="78">
        <f>SUM(D30:INDEX(D30:K30,0,MATCH('RFPR cover'!$C$7,$D$6:$K$6,0)))</f>
        <v>4.7554110443171114</v>
      </c>
      <c r="M30" s="80">
        <f>SUM(D30:K30)</f>
        <v>1.241104431711193E-2</v>
      </c>
    </row>
    <row r="31" spans="1:20">
      <c r="B31" s="106" t="s">
        <v>303</v>
      </c>
      <c r="C31" s="737" t="str">
        <f>'RFPR cover'!$C$14</f>
        <v>£m 12/13</v>
      </c>
      <c r="D31" s="75">
        <f t="shared" ref="D31:K31" si="7">D28*(1-D16)</f>
        <v>-4.6319415674435307</v>
      </c>
      <c r="E31" s="76">
        <f t="shared" si="7"/>
        <v>-4.2785103000366229</v>
      </c>
      <c r="F31" s="76">
        <f t="shared" si="7"/>
        <v>8.7046834628036009</v>
      </c>
      <c r="G31" s="76">
        <f t="shared" si="7"/>
        <v>24.081047778245704</v>
      </c>
      <c r="H31" s="76">
        <f t="shared" si="7"/>
        <v>-0.69550000000000012</v>
      </c>
      <c r="I31" s="76">
        <f t="shared" si="7"/>
        <v>-13.963500000000002</v>
      </c>
      <c r="J31" s="76">
        <f t="shared" si="7"/>
        <v>-3.7450000000000001</v>
      </c>
      <c r="K31" s="76">
        <f t="shared" si="7"/>
        <v>-5.4569999999999999</v>
      </c>
      <c r="L31" s="75">
        <f>SUM(D31:INDEX(D31:K31,0,MATCH('RFPR cover'!$C$7,$D$6:$K$6,0)))</f>
        <v>5.471279373569149</v>
      </c>
      <c r="M31" s="77">
        <f>SUM(D31:K31)</f>
        <v>1.4279373569149101E-2</v>
      </c>
    </row>
    <row r="33" spans="2:20">
      <c r="B33" s="319" t="s">
        <v>177</v>
      </c>
    </row>
    <row r="34" spans="2:20">
      <c r="B34" s="106" t="s">
        <v>176</v>
      </c>
      <c r="C34" s="737" t="str">
        <f>'RFPR cover'!$C$14</f>
        <v>£m 12/13</v>
      </c>
      <c r="D34" s="78">
        <f>D18+D30</f>
        <v>0.55420669507883513</v>
      </c>
      <c r="E34" s="79">
        <f t="shared" ref="E34:K35" si="8">E18+E30</f>
        <v>0.31992087257513457</v>
      </c>
      <c r="F34" s="79">
        <f t="shared" si="8"/>
        <v>0.33292201108325514</v>
      </c>
      <c r="G34" s="79">
        <f t="shared" si="8"/>
        <v>0.52807175338391232</v>
      </c>
      <c r="H34" s="79">
        <f t="shared" si="8"/>
        <v>-11.182015483626053</v>
      </c>
      <c r="I34" s="79">
        <f t="shared" si="8"/>
        <v>-11.167646399792591</v>
      </c>
      <c r="J34" s="79">
        <f t="shared" si="8"/>
        <v>-5.593128734100798</v>
      </c>
      <c r="K34" s="79">
        <f t="shared" si="8"/>
        <v>-17.416377931731162</v>
      </c>
      <c r="L34" s="78">
        <f>SUM(D34:INDEX(D34:K34,0,MATCH('RFPR cover'!$C$7,$D$6:$K$6,0)))</f>
        <v>-26.207669285398307</v>
      </c>
      <c r="M34" s="80">
        <f>SUM(D34:K34)</f>
        <v>-43.624047217129473</v>
      </c>
    </row>
    <row r="35" spans="2:20">
      <c r="B35" s="106" t="s">
        <v>274</v>
      </c>
      <c r="C35" s="737" t="str">
        <f>'RFPR cover'!$C$14</f>
        <v>£m 12/13</v>
      </c>
      <c r="D35" s="81">
        <f>D19+D31</f>
        <v>0.63763565992941285</v>
      </c>
      <c r="E35" s="82">
        <f t="shared" si="8"/>
        <v>0.36808100393053156</v>
      </c>
      <c r="F35" s="82">
        <f t="shared" si="8"/>
        <v>0.38303930307428224</v>
      </c>
      <c r="G35" s="82">
        <f t="shared" si="8"/>
        <v>0.60756642593632648</v>
      </c>
      <c r="H35" s="82">
        <f t="shared" si="8"/>
        <v>-12.865329642451481</v>
      </c>
      <c r="I35" s="82">
        <f t="shared" si="8"/>
        <v>-12.848797470729114</v>
      </c>
      <c r="J35" s="82">
        <f t="shared" si="8"/>
        <v>-6.4351051026751129</v>
      </c>
      <c r="K35" s="82">
        <f t="shared" si="8"/>
        <v>-20.038198265540156</v>
      </c>
      <c r="L35" s="81">
        <f>SUM(D35:INDEX(D35:K35,0,MATCH('RFPR cover'!$C$7,$D$6:$K$6,0)))</f>
        <v>-30.152909822985155</v>
      </c>
      <c r="M35" s="83">
        <f>SUM(D35:K35)</f>
        <v>-50.191108088525311</v>
      </c>
    </row>
    <row r="36" spans="2:20">
      <c r="B36" s="319" t="s">
        <v>11</v>
      </c>
      <c r="C36" s="752" t="str">
        <f>'RFPR cover'!$C$14</f>
        <v>£m 12/13</v>
      </c>
      <c r="D36" s="110">
        <f>SUM(D34:D35)</f>
        <v>1.191842355008248</v>
      </c>
      <c r="E36" s="111">
        <f t="shared" ref="E36:K36" si="9">SUM(E34:E35)</f>
        <v>0.68800187650566613</v>
      </c>
      <c r="F36" s="111">
        <f t="shared" si="9"/>
        <v>0.71596131415753739</v>
      </c>
      <c r="G36" s="111">
        <f t="shared" si="9"/>
        <v>1.1356381793202388</v>
      </c>
      <c r="H36" s="111">
        <f t="shared" si="9"/>
        <v>-24.047345126077534</v>
      </c>
      <c r="I36" s="111">
        <f t="shared" si="9"/>
        <v>-24.016443870521705</v>
      </c>
      <c r="J36" s="111">
        <f t="shared" si="9"/>
        <v>-12.028233836775911</v>
      </c>
      <c r="K36" s="111">
        <f t="shared" si="9"/>
        <v>-37.454576197271322</v>
      </c>
      <c r="L36" s="110">
        <f>SUM(D36:INDEX(D36:K36,0,MATCH('RFPR cover'!$C$7,$D$6:$K$6,0)))</f>
        <v>-56.360579108383462</v>
      </c>
      <c r="M36" s="112">
        <f>SUM(D36:K36)</f>
        <v>-93.815155305654784</v>
      </c>
    </row>
    <row r="38" spans="2:20">
      <c r="B38" s="592" t="str">
        <f>Data!B51</f>
        <v>n/a</v>
      </c>
      <c r="C38" s="119"/>
      <c r="D38" s="64"/>
      <c r="E38" s="64"/>
      <c r="F38" s="64"/>
      <c r="G38" s="64"/>
      <c r="H38" s="64"/>
      <c r="I38" s="64"/>
      <c r="J38" s="64"/>
      <c r="K38" s="64"/>
      <c r="L38" s="64"/>
      <c r="M38" s="64"/>
      <c r="N38" s="64"/>
    </row>
    <row r="39" spans="2:20">
      <c r="D39" s="1"/>
      <c r="E39" s="1"/>
      <c r="F39" s="1"/>
      <c r="G39" s="1"/>
      <c r="H39" s="1"/>
      <c r="I39" s="1"/>
      <c r="J39" s="1"/>
      <c r="K39" s="1"/>
      <c r="L39" s="1"/>
      <c r="M39" s="1"/>
      <c r="N39" s="1"/>
    </row>
    <row r="40" spans="2:20">
      <c r="B40" s="174" t="s">
        <v>32</v>
      </c>
      <c r="C40" s="737" t="str">
        <f>'RFPR cover'!$C$14</f>
        <v>£m 12/13</v>
      </c>
      <c r="D40" s="516"/>
      <c r="E40" s="517"/>
      <c r="F40" s="517"/>
      <c r="G40" s="517"/>
      <c r="H40" s="517"/>
      <c r="I40" s="517"/>
      <c r="J40" s="517"/>
      <c r="K40" s="517"/>
      <c r="L40" s="518">
        <f>SUM(D40:INDEX(D40:K40,0,MATCH('RFPR cover'!$C$7,$D$6:$K$6,0)))</f>
        <v>0</v>
      </c>
      <c r="M40" s="519">
        <f>SUM(D40:K40)</f>
        <v>0</v>
      </c>
      <c r="N40" s="288"/>
      <c r="O40" s="46"/>
    </row>
    <row r="41" spans="2:20" ht="25.5">
      <c r="B41" s="757" t="s">
        <v>495</v>
      </c>
      <c r="C41" s="737" t="str">
        <f>'RFPR cover'!$C$14</f>
        <v>£m 12/13</v>
      </c>
      <c r="D41" s="520"/>
      <c r="E41" s="521"/>
      <c r="F41" s="521"/>
      <c r="G41" s="521"/>
      <c r="H41" s="521"/>
      <c r="I41" s="521"/>
      <c r="J41" s="521"/>
      <c r="K41" s="521"/>
      <c r="L41" s="522">
        <f>SUM(D41:INDEX(D41:K41,0,MATCH('RFPR cover'!$C$7,$D$6:$K$6,0)))</f>
        <v>0</v>
      </c>
      <c r="M41" s="523">
        <f>SUM(D41:K41)</f>
        <v>0</v>
      </c>
      <c r="N41" s="288"/>
      <c r="O41" s="46"/>
    </row>
    <row r="42" spans="2:20">
      <c r="B42" s="628" t="s">
        <v>191</v>
      </c>
      <c r="C42" s="737" t="str">
        <f>'RFPR cover'!$C$14</f>
        <v>£m 12/13</v>
      </c>
      <c r="D42" s="85">
        <f>D41-D40</f>
        <v>0</v>
      </c>
      <c r="E42" s="86">
        <f t="shared" ref="E42:M42" si="10">E41-E40</f>
        <v>0</v>
      </c>
      <c r="F42" s="86">
        <f t="shared" si="10"/>
        <v>0</v>
      </c>
      <c r="G42" s="86">
        <f t="shared" si="10"/>
        <v>0</v>
      </c>
      <c r="H42" s="86">
        <f t="shared" si="10"/>
        <v>0</v>
      </c>
      <c r="I42" s="86">
        <f t="shared" si="10"/>
        <v>0</v>
      </c>
      <c r="J42" s="86">
        <f t="shared" si="10"/>
        <v>0</v>
      </c>
      <c r="K42" s="86">
        <f t="shared" si="10"/>
        <v>0</v>
      </c>
      <c r="L42" s="759">
        <f t="shared" si="10"/>
        <v>0</v>
      </c>
      <c r="M42" s="936">
        <f t="shared" si="10"/>
        <v>0</v>
      </c>
      <c r="N42" s="289"/>
      <c r="O42" s="980"/>
      <c r="P42" s="980"/>
      <c r="Q42" s="980"/>
      <c r="R42"/>
      <c r="S42"/>
      <c r="T42"/>
    </row>
    <row r="43" spans="2:20">
      <c r="B43" s="628"/>
      <c r="C43" s="736"/>
      <c r="D43" s="758"/>
      <c r="E43" s="758"/>
      <c r="F43" s="758"/>
      <c r="G43" s="758"/>
      <c r="H43" s="758"/>
      <c r="I43" s="758"/>
      <c r="J43" s="758"/>
      <c r="K43" s="758"/>
      <c r="L43" s="758"/>
      <c r="M43" s="758"/>
      <c r="N43" s="760"/>
      <c r="O43" s="47"/>
      <c r="P43" s="47"/>
      <c r="Q43" s="47"/>
      <c r="R43"/>
      <c r="S43"/>
      <c r="T43"/>
    </row>
    <row r="44" spans="2:20">
      <c r="B44" s="106" t="s">
        <v>174</v>
      </c>
      <c r="C44" s="109" t="s">
        <v>7</v>
      </c>
      <c r="D44" s="92">
        <f>1-INDEX(Data!$D$73:$D$100,MATCH('RFPR cover'!$C$5,Data!$B$73:$B$100,0),0)</f>
        <v>0.46499999999999997</v>
      </c>
      <c r="E44" s="93">
        <f>1-INDEX(Data!$D$73:$D$100,MATCH('RFPR cover'!$C$5,Data!$B$73:$B$100,0),0)</f>
        <v>0.46499999999999997</v>
      </c>
      <c r="F44" s="93">
        <f>1-INDEX(Data!$D$73:$D$100,MATCH('RFPR cover'!$C$5,Data!$B$73:$B$100,0),0)</f>
        <v>0.46499999999999997</v>
      </c>
      <c r="G44" s="93">
        <f>1-INDEX(Data!$D$73:$D$100,MATCH('RFPR cover'!$C$5,Data!$B$73:$B$100,0),0)</f>
        <v>0.46499999999999997</v>
      </c>
      <c r="H44" s="93">
        <f>1-INDEX(Data!$D$73:$D$100,MATCH('RFPR cover'!$C$5,Data!$B$73:$B$100,0),0)</f>
        <v>0.46499999999999997</v>
      </c>
      <c r="I44" s="93">
        <f>1-INDEX(Data!$D$73:$D$100,MATCH('RFPR cover'!$C$5,Data!$B$73:$B$100,0),0)</f>
        <v>0.46499999999999997</v>
      </c>
      <c r="J44" s="93">
        <f>1-INDEX(Data!$D$73:$D$100,MATCH('RFPR cover'!$C$5,Data!$B$73:$B$100,0),0)</f>
        <v>0.46499999999999997</v>
      </c>
      <c r="K44" s="94">
        <f>1-INDEX(Data!$D$73:$D$100,MATCH('RFPR cover'!$C$5,Data!$B$73:$B$100,0),0)</f>
        <v>0.46499999999999997</v>
      </c>
      <c r="L44" s="45"/>
      <c r="M44" s="45"/>
      <c r="N44" s="761"/>
      <c r="O44"/>
      <c r="P44"/>
      <c r="Q44"/>
      <c r="R44"/>
      <c r="S44"/>
      <c r="T44"/>
    </row>
    <row r="45" spans="2:20">
      <c r="N45" s="439"/>
      <c r="O45"/>
      <c r="P45"/>
      <c r="Q45"/>
      <c r="R45"/>
      <c r="S45"/>
      <c r="T45"/>
    </row>
    <row r="46" spans="2:20">
      <c r="B46" s="106" t="s">
        <v>179</v>
      </c>
      <c r="C46" s="737" t="str">
        <f>'RFPR cover'!$C$14</f>
        <v>£m 12/13</v>
      </c>
      <c r="D46" s="78">
        <f>D42*D44</f>
        <v>0</v>
      </c>
      <c r="E46" s="79">
        <f t="shared" ref="E46:K46" si="11">E42*E44</f>
        <v>0</v>
      </c>
      <c r="F46" s="79">
        <f t="shared" si="11"/>
        <v>0</v>
      </c>
      <c r="G46" s="79">
        <f t="shared" si="11"/>
        <v>0</v>
      </c>
      <c r="H46" s="79">
        <f t="shared" si="11"/>
        <v>0</v>
      </c>
      <c r="I46" s="79">
        <f t="shared" si="11"/>
        <v>0</v>
      </c>
      <c r="J46" s="79">
        <f t="shared" si="11"/>
        <v>0</v>
      </c>
      <c r="K46" s="79">
        <f t="shared" si="11"/>
        <v>0</v>
      </c>
      <c r="L46" s="291">
        <f>SUM(D46:INDEX(D46:K46,0,MATCH('RFPR cover'!$C$7,$D$6:$K$6,0)))</f>
        <v>0</v>
      </c>
      <c r="M46" s="474">
        <f>SUM(D46:K46)</f>
        <v>0</v>
      </c>
      <c r="N46" s="289"/>
      <c r="O46"/>
      <c r="P46"/>
      <c r="Q46"/>
      <c r="R46"/>
      <c r="S46"/>
      <c r="T46"/>
    </row>
    <row r="47" spans="2:20">
      <c r="B47" s="106" t="s">
        <v>274</v>
      </c>
      <c r="C47" s="737" t="str">
        <f>'RFPR cover'!$C$14</f>
        <v>£m 12/13</v>
      </c>
      <c r="D47" s="476">
        <f>D42*(1-D44)</f>
        <v>0</v>
      </c>
      <c r="E47" s="477">
        <f t="shared" ref="E47:K47" si="12">E42*(1-E44)</f>
        <v>0</v>
      </c>
      <c r="F47" s="477">
        <f t="shared" si="12"/>
        <v>0</v>
      </c>
      <c r="G47" s="477">
        <f t="shared" si="12"/>
        <v>0</v>
      </c>
      <c r="H47" s="477">
        <f t="shared" si="12"/>
        <v>0</v>
      </c>
      <c r="I47" s="477">
        <f t="shared" si="12"/>
        <v>0</v>
      </c>
      <c r="J47" s="477">
        <f t="shared" si="12"/>
        <v>0</v>
      </c>
      <c r="K47" s="477">
        <f t="shared" si="12"/>
        <v>0</v>
      </c>
      <c r="L47" s="478">
        <f>SUM(D47:INDEX(D47:K47,0,MATCH('RFPR cover'!$C$7,$D$6:$K$6,0)))</f>
        <v>0</v>
      </c>
      <c r="M47" s="479">
        <f>SUM(D47:K47)</f>
        <v>0</v>
      </c>
      <c r="N47" s="289"/>
      <c r="O47"/>
      <c r="P47"/>
      <c r="Q47"/>
      <c r="R47"/>
      <c r="S47"/>
      <c r="T47"/>
    </row>
    <row r="48" spans="2:20">
      <c r="N48" s="439"/>
      <c r="O48"/>
      <c r="P48"/>
      <c r="Q48"/>
      <c r="R48"/>
      <c r="S48"/>
      <c r="T48"/>
    </row>
    <row r="49" spans="1:20">
      <c r="B49" s="319" t="s">
        <v>178</v>
      </c>
      <c r="N49" s="439"/>
      <c r="O49"/>
      <c r="P49"/>
      <c r="Q49"/>
      <c r="R49"/>
      <c r="S49"/>
      <c r="T49"/>
    </row>
    <row r="50" spans="1:20">
      <c r="A50" s="3" t="s">
        <v>148</v>
      </c>
      <c r="B50" s="594" t="s">
        <v>238</v>
      </c>
      <c r="C50" s="737" t="str">
        <f>'RFPR cover'!$C$14</f>
        <v>£m 12/13</v>
      </c>
      <c r="D50" s="480"/>
      <c r="E50" s="481"/>
      <c r="F50" s="481"/>
      <c r="G50" s="481"/>
      <c r="H50" s="481"/>
      <c r="I50" s="481"/>
      <c r="J50" s="481"/>
      <c r="K50" s="481"/>
      <c r="L50" s="524">
        <f>SUM(D50:INDEX(D50:K50,0,MATCH('RFPR cover'!$C$7,$D$6:$K$6,0)))</f>
        <v>0</v>
      </c>
      <c r="M50" s="525">
        <f t="shared" ref="M50:M56" si="13">SUM(D50:K50)</f>
        <v>0</v>
      </c>
      <c r="N50" s="471"/>
      <c r="O50"/>
      <c r="P50"/>
      <c r="Q50"/>
      <c r="R50"/>
      <c r="S50"/>
      <c r="T50"/>
    </row>
    <row r="51" spans="1:20">
      <c r="A51" s="3" t="s">
        <v>149</v>
      </c>
      <c r="B51" s="594" t="s">
        <v>238</v>
      </c>
      <c r="C51" s="737" t="str">
        <f>'RFPR cover'!$C$14</f>
        <v>£m 12/13</v>
      </c>
      <c r="D51" s="484"/>
      <c r="E51" s="485"/>
      <c r="F51" s="485"/>
      <c r="G51" s="485"/>
      <c r="H51" s="485"/>
      <c r="I51" s="485"/>
      <c r="J51" s="485"/>
      <c r="K51" s="485"/>
      <c r="L51" s="526">
        <f>SUM(D51:INDEX(D51:K51,0,MATCH('RFPR cover'!$C$7,$D$6:$K$6,0)))</f>
        <v>0</v>
      </c>
      <c r="M51" s="527">
        <f t="shared" si="13"/>
        <v>0</v>
      </c>
      <c r="N51" s="472"/>
      <c r="O51"/>
      <c r="P51"/>
      <c r="Q51"/>
      <c r="R51"/>
      <c r="S51"/>
      <c r="T51"/>
    </row>
    <row r="52" spans="1:20">
      <c r="A52" s="3" t="s">
        <v>150</v>
      </c>
      <c r="B52" s="594" t="s">
        <v>238</v>
      </c>
      <c r="C52" s="737" t="str">
        <f>'RFPR cover'!$C$14</f>
        <v>£m 12/13</v>
      </c>
      <c r="D52" s="484"/>
      <c r="E52" s="485"/>
      <c r="F52" s="485"/>
      <c r="G52" s="485"/>
      <c r="H52" s="485"/>
      <c r="I52" s="485"/>
      <c r="J52" s="485"/>
      <c r="K52" s="485"/>
      <c r="L52" s="526">
        <f>SUM(D52:INDEX(D52:K52,0,MATCH('RFPR cover'!$C$7,$D$6:$K$6,0)))</f>
        <v>0</v>
      </c>
      <c r="M52" s="527">
        <f t="shared" si="13"/>
        <v>0</v>
      </c>
      <c r="N52" s="472"/>
      <c r="O52"/>
      <c r="P52"/>
      <c r="Q52"/>
      <c r="R52"/>
      <c r="S52" s="48"/>
      <c r="T52"/>
    </row>
    <row r="53" spans="1:20">
      <c r="A53" s="3" t="s">
        <v>164</v>
      </c>
      <c r="B53" s="594" t="s">
        <v>238</v>
      </c>
      <c r="C53" s="737" t="str">
        <f>'RFPR cover'!$C$14</f>
        <v>£m 12/13</v>
      </c>
      <c r="D53" s="484"/>
      <c r="E53" s="485"/>
      <c r="F53" s="485"/>
      <c r="G53" s="485"/>
      <c r="H53" s="485"/>
      <c r="I53" s="485"/>
      <c r="J53" s="485"/>
      <c r="K53" s="485"/>
      <c r="L53" s="526">
        <f>SUM(D53:INDEX(D53:K53,0,MATCH('RFPR cover'!$C$7,$D$6:$K$6,0)))</f>
        <v>0</v>
      </c>
      <c r="M53" s="527">
        <f t="shared" si="13"/>
        <v>0</v>
      </c>
      <c r="N53" s="472"/>
      <c r="O53"/>
      <c r="P53"/>
      <c r="Q53"/>
      <c r="R53"/>
      <c r="S53"/>
      <c r="T53"/>
    </row>
    <row r="54" spans="1:20">
      <c r="A54" s="3" t="s">
        <v>165</v>
      </c>
      <c r="B54" s="594" t="s">
        <v>238</v>
      </c>
      <c r="C54" s="737" t="str">
        <f>'RFPR cover'!$C$14</f>
        <v>£m 12/13</v>
      </c>
      <c r="D54" s="484"/>
      <c r="E54" s="485"/>
      <c r="F54" s="485"/>
      <c r="G54" s="485"/>
      <c r="H54" s="485"/>
      <c r="I54" s="485"/>
      <c r="J54" s="485"/>
      <c r="K54" s="485"/>
      <c r="L54" s="526">
        <f>SUM(D54:INDEX(D54:K54,0,MATCH('RFPR cover'!$C$7,$D$6:$K$6,0)))</f>
        <v>0</v>
      </c>
      <c r="M54" s="527">
        <f t="shared" si="13"/>
        <v>0</v>
      </c>
      <c r="N54" s="472"/>
      <c r="O54"/>
      <c r="P54"/>
      <c r="Q54"/>
      <c r="R54"/>
      <c r="S54"/>
      <c r="T54"/>
    </row>
    <row r="55" spans="1:20">
      <c r="A55" s="3" t="s">
        <v>166</v>
      </c>
      <c r="B55" s="594" t="s">
        <v>238</v>
      </c>
      <c r="C55" s="737" t="str">
        <f>'RFPR cover'!$C$14</f>
        <v>£m 12/13</v>
      </c>
      <c r="D55" s="488"/>
      <c r="E55" s="489"/>
      <c r="F55" s="489"/>
      <c r="G55" s="489"/>
      <c r="H55" s="489"/>
      <c r="I55" s="489"/>
      <c r="J55" s="489"/>
      <c r="K55" s="489"/>
      <c r="L55" s="528">
        <f>SUM(D55:INDEX(D55:K55,0,MATCH('RFPR cover'!$C$7,$D$6:$K$6,0)))</f>
        <v>0</v>
      </c>
      <c r="M55" s="529">
        <f t="shared" si="13"/>
        <v>0</v>
      </c>
      <c r="N55" s="473"/>
      <c r="O55"/>
      <c r="P55"/>
      <c r="Q55"/>
      <c r="R55"/>
      <c r="S55"/>
      <c r="T55"/>
    </row>
    <row r="56" spans="1:20">
      <c r="B56" s="319" t="s">
        <v>186</v>
      </c>
      <c r="C56" s="737" t="str">
        <f>'RFPR cover'!$C$14</f>
        <v>£m 12/13</v>
      </c>
      <c r="D56" s="85">
        <f>SUM(D50:D55)</f>
        <v>0</v>
      </c>
      <c r="E56" s="86">
        <f t="shared" ref="E56:K56" si="14">SUM(E50:E55)</f>
        <v>0</v>
      </c>
      <c r="F56" s="86">
        <f t="shared" si="14"/>
        <v>0</v>
      </c>
      <c r="G56" s="86">
        <f t="shared" si="14"/>
        <v>0</v>
      </c>
      <c r="H56" s="86">
        <f t="shared" si="14"/>
        <v>0</v>
      </c>
      <c r="I56" s="86">
        <f t="shared" si="14"/>
        <v>0</v>
      </c>
      <c r="J56" s="86">
        <f t="shared" si="14"/>
        <v>0</v>
      </c>
      <c r="K56" s="86">
        <f t="shared" si="14"/>
        <v>0</v>
      </c>
      <c r="L56" s="759">
        <f>SUM(D56:INDEX(D56:K56,0,MATCH('RFPR cover'!$C$7,$D$6:$K$6,0)))</f>
        <v>0</v>
      </c>
      <c r="M56" s="936">
        <f t="shared" si="13"/>
        <v>0</v>
      </c>
      <c r="N56" s="289"/>
    </row>
    <row r="57" spans="1:20">
      <c r="N57" s="439"/>
    </row>
    <row r="58" spans="1:20">
      <c r="B58" s="106" t="s">
        <v>194</v>
      </c>
      <c r="C58" s="737" t="str">
        <f>'RFPR cover'!$C$14</f>
        <v>£m 12/13</v>
      </c>
      <c r="D58" s="78">
        <f t="shared" ref="D58:K58" si="15">D56*D44</f>
        <v>0</v>
      </c>
      <c r="E58" s="79">
        <f t="shared" si="15"/>
        <v>0</v>
      </c>
      <c r="F58" s="79">
        <f t="shared" si="15"/>
        <v>0</v>
      </c>
      <c r="G58" s="79">
        <f t="shared" si="15"/>
        <v>0</v>
      </c>
      <c r="H58" s="79">
        <f t="shared" si="15"/>
        <v>0</v>
      </c>
      <c r="I58" s="79">
        <f t="shared" si="15"/>
        <v>0</v>
      </c>
      <c r="J58" s="79">
        <f t="shared" si="15"/>
        <v>0</v>
      </c>
      <c r="K58" s="79">
        <f t="shared" si="15"/>
        <v>0</v>
      </c>
      <c r="L58" s="291">
        <f>SUM(D58:INDEX(D58:K58,0,MATCH('RFPR cover'!$C$7,$D$6:$K$6,0)))</f>
        <v>0</v>
      </c>
      <c r="M58" s="474">
        <f>SUM(D58:K58)</f>
        <v>0</v>
      </c>
      <c r="N58" s="289"/>
    </row>
    <row r="59" spans="1:20">
      <c r="B59" s="106" t="s">
        <v>303</v>
      </c>
      <c r="C59" s="737" t="str">
        <f>'RFPR cover'!$C$14</f>
        <v>£m 12/13</v>
      </c>
      <c r="D59" s="75">
        <f t="shared" ref="D59:K59" si="16">D56*(1-D44)</f>
        <v>0</v>
      </c>
      <c r="E59" s="76">
        <f t="shared" si="16"/>
        <v>0</v>
      </c>
      <c r="F59" s="76">
        <f t="shared" si="16"/>
        <v>0</v>
      </c>
      <c r="G59" s="76">
        <f t="shared" si="16"/>
        <v>0</v>
      </c>
      <c r="H59" s="76">
        <f t="shared" si="16"/>
        <v>0</v>
      </c>
      <c r="I59" s="76">
        <f t="shared" si="16"/>
        <v>0</v>
      </c>
      <c r="J59" s="76">
        <f t="shared" si="16"/>
        <v>0</v>
      </c>
      <c r="K59" s="76">
        <f t="shared" si="16"/>
        <v>0</v>
      </c>
      <c r="L59" s="292">
        <f>SUM(D59:INDEX(D59:K59,0,MATCH('RFPR cover'!$C$7,$D$6:$K$6,0)))</f>
        <v>0</v>
      </c>
      <c r="M59" s="475">
        <f>SUM(D59:K59)</f>
        <v>0</v>
      </c>
      <c r="N59" s="289"/>
    </row>
    <row r="60" spans="1:20">
      <c r="N60" s="439"/>
    </row>
    <row r="61" spans="1:20">
      <c r="B61" s="319" t="s">
        <v>177</v>
      </c>
      <c r="N61" s="439"/>
    </row>
    <row r="62" spans="1:20">
      <c r="B62" s="106" t="s">
        <v>176</v>
      </c>
      <c r="C62" s="737" t="str">
        <f>'RFPR cover'!$C$14</f>
        <v>£m 12/13</v>
      </c>
      <c r="D62" s="78">
        <f>D46+D58</f>
        <v>0</v>
      </c>
      <c r="E62" s="79">
        <f t="shared" ref="E62:K63" si="17">E46+E58</f>
        <v>0</v>
      </c>
      <c r="F62" s="79">
        <f t="shared" si="17"/>
        <v>0</v>
      </c>
      <c r="G62" s="79">
        <f t="shared" si="17"/>
        <v>0</v>
      </c>
      <c r="H62" s="79">
        <f t="shared" si="17"/>
        <v>0</v>
      </c>
      <c r="I62" s="79">
        <f t="shared" si="17"/>
        <v>0</v>
      </c>
      <c r="J62" s="79">
        <f t="shared" si="17"/>
        <v>0</v>
      </c>
      <c r="K62" s="79">
        <f t="shared" si="17"/>
        <v>0</v>
      </c>
      <c r="L62" s="291">
        <f>SUM(D62:INDEX(D62:K62,0,MATCH('RFPR cover'!$C$7,$D$6:$K$6,0)))</f>
        <v>0</v>
      </c>
      <c r="M62" s="474">
        <f>SUM(D62:K62)</f>
        <v>0</v>
      </c>
      <c r="N62" s="289"/>
    </row>
    <row r="63" spans="1:20">
      <c r="B63" s="106" t="s">
        <v>274</v>
      </c>
      <c r="C63" s="737" t="str">
        <f>'RFPR cover'!$C$14</f>
        <v>£m 12/13</v>
      </c>
      <c r="D63" s="81">
        <f>D47+D59</f>
        <v>0</v>
      </c>
      <c r="E63" s="82">
        <f t="shared" si="17"/>
        <v>0</v>
      </c>
      <c r="F63" s="82">
        <f t="shared" si="17"/>
        <v>0</v>
      </c>
      <c r="G63" s="82">
        <f t="shared" si="17"/>
        <v>0</v>
      </c>
      <c r="H63" s="82">
        <f t="shared" si="17"/>
        <v>0</v>
      </c>
      <c r="I63" s="82">
        <f t="shared" si="17"/>
        <v>0</v>
      </c>
      <c r="J63" s="82">
        <f t="shared" si="17"/>
        <v>0</v>
      </c>
      <c r="K63" s="82">
        <f t="shared" si="17"/>
        <v>0</v>
      </c>
      <c r="L63" s="293">
        <f>SUM(D63:INDEX(D63:K63,0,MATCH('RFPR cover'!$C$7,$D$6:$K$6,0)))</f>
        <v>0</v>
      </c>
      <c r="M63" s="475">
        <f>SUM(D63:K63)</f>
        <v>0</v>
      </c>
      <c r="N63" s="289"/>
    </row>
    <row r="64" spans="1:20">
      <c r="B64" s="319" t="s">
        <v>11</v>
      </c>
      <c r="C64" s="752" t="str">
        <f>'RFPR cover'!$C$14</f>
        <v>£m 12/13</v>
      </c>
      <c r="D64" s="110">
        <f>SUM(D62:D63)</f>
        <v>0</v>
      </c>
      <c r="E64" s="111">
        <f t="shared" ref="E64:K64" si="18">SUM(E62:E63)</f>
        <v>0</v>
      </c>
      <c r="F64" s="111">
        <f t="shared" si="18"/>
        <v>0</v>
      </c>
      <c r="G64" s="111">
        <f t="shared" si="18"/>
        <v>0</v>
      </c>
      <c r="H64" s="111">
        <f t="shared" si="18"/>
        <v>0</v>
      </c>
      <c r="I64" s="111">
        <f t="shared" si="18"/>
        <v>0</v>
      </c>
      <c r="J64" s="111">
        <f t="shared" si="18"/>
        <v>0</v>
      </c>
      <c r="K64" s="111">
        <f t="shared" si="18"/>
        <v>0</v>
      </c>
      <c r="L64" s="294">
        <f>SUM(D64:INDEX(D64:K64,0,MATCH('RFPR cover'!$C$7,$D$6:$K$6,0)))</f>
        <v>0</v>
      </c>
      <c r="M64" s="995">
        <f>SUM(D64:K64)</f>
        <v>0</v>
      </c>
      <c r="N64" s="290"/>
    </row>
    <row r="65" spans="2:20">
      <c r="B65" s="319"/>
      <c r="C65" s="745"/>
      <c r="D65" s="745"/>
      <c r="E65" s="745"/>
      <c r="F65" s="745"/>
      <c r="G65" s="745"/>
      <c r="H65" s="745"/>
      <c r="I65" s="745"/>
      <c r="J65" s="745"/>
      <c r="K65" s="745"/>
      <c r="L65" s="745"/>
      <c r="M65" s="745"/>
    </row>
    <row r="66" spans="2:20">
      <c r="B66" s="592" t="s">
        <v>252</v>
      </c>
      <c r="C66" s="119"/>
      <c r="D66" s="64"/>
      <c r="E66" s="64"/>
      <c r="F66" s="64"/>
      <c r="G66" s="64"/>
      <c r="H66" s="64"/>
      <c r="I66" s="64"/>
      <c r="J66" s="64"/>
      <c r="K66" s="64"/>
      <c r="L66" s="64"/>
      <c r="M66" s="64"/>
      <c r="N66" s="64"/>
    </row>
    <row r="67" spans="2:20">
      <c r="O67"/>
      <c r="P67"/>
      <c r="Q67"/>
      <c r="R67"/>
      <c r="S67"/>
      <c r="T67"/>
    </row>
    <row r="68" spans="2:20">
      <c r="B68" s="319" t="s">
        <v>177</v>
      </c>
    </row>
    <row r="69" spans="2:20">
      <c r="B69" s="106" t="s">
        <v>176</v>
      </c>
      <c r="C69" s="737" t="str">
        <f>'RFPR cover'!$C$14</f>
        <v>£m 12/13</v>
      </c>
      <c r="D69" s="78">
        <f>D34+D62</f>
        <v>0.55420669507883513</v>
      </c>
      <c r="E69" s="79">
        <f t="shared" ref="E69:K69" si="19">E34+E62</f>
        <v>0.31992087257513457</v>
      </c>
      <c r="F69" s="79">
        <f t="shared" si="19"/>
        <v>0.33292201108325514</v>
      </c>
      <c r="G69" s="79">
        <f t="shared" si="19"/>
        <v>0.52807175338391232</v>
      </c>
      <c r="H69" s="79">
        <f t="shared" si="19"/>
        <v>-11.182015483626053</v>
      </c>
      <c r="I69" s="79">
        <f t="shared" si="19"/>
        <v>-11.167646399792591</v>
      </c>
      <c r="J69" s="79">
        <f t="shared" si="19"/>
        <v>-5.593128734100798</v>
      </c>
      <c r="K69" s="79">
        <f t="shared" si="19"/>
        <v>-17.416377931731162</v>
      </c>
      <c r="L69" s="78">
        <f>SUM(D69:INDEX(D69:K69,0,MATCH('RFPR cover'!$C$7,$D$6:$K$6,0)))</f>
        <v>-26.207669285398307</v>
      </c>
      <c r="M69" s="80">
        <f>SUM(D69:K69)</f>
        <v>-43.624047217129473</v>
      </c>
    </row>
    <row r="70" spans="2:20">
      <c r="B70" s="106" t="s">
        <v>274</v>
      </c>
      <c r="C70" s="737" t="str">
        <f>'RFPR cover'!$C$14</f>
        <v>£m 12/13</v>
      </c>
      <c r="D70" s="427">
        <f t="shared" ref="D70:K70" si="20">D35+D63</f>
        <v>0.63763565992941285</v>
      </c>
      <c r="E70" s="428">
        <f t="shared" si="20"/>
        <v>0.36808100393053156</v>
      </c>
      <c r="F70" s="428">
        <f t="shared" si="20"/>
        <v>0.38303930307428224</v>
      </c>
      <c r="G70" s="428">
        <f t="shared" si="20"/>
        <v>0.60756642593632648</v>
      </c>
      <c r="H70" s="428">
        <f t="shared" si="20"/>
        <v>-12.865329642451481</v>
      </c>
      <c r="I70" s="428">
        <f t="shared" si="20"/>
        <v>-12.848797470729114</v>
      </c>
      <c r="J70" s="428">
        <f t="shared" si="20"/>
        <v>-6.4351051026751129</v>
      </c>
      <c r="K70" s="428">
        <f t="shared" si="20"/>
        <v>-20.038198265540156</v>
      </c>
      <c r="L70" s="427">
        <f>SUM(D70:INDEX(D70:K70,0,MATCH('RFPR cover'!$C$7,$D$6:$K$6,0)))</f>
        <v>-30.152909822985155</v>
      </c>
      <c r="M70" s="429">
        <f>SUM(D70:K70)</f>
        <v>-50.191108088525311</v>
      </c>
    </row>
    <row r="71" spans="2:20">
      <c r="B71" s="319" t="s">
        <v>11</v>
      </c>
      <c r="C71" s="752" t="str">
        <f>'RFPR cover'!$C$14</f>
        <v>£m 12/13</v>
      </c>
      <c r="D71" s="116">
        <f>SUM(D69:D70)</f>
        <v>1.191842355008248</v>
      </c>
      <c r="E71" s="117">
        <f t="shared" ref="E71:K71" si="21">SUM(E69:E70)</f>
        <v>0.68800187650566613</v>
      </c>
      <c r="F71" s="117">
        <f t="shared" si="21"/>
        <v>0.71596131415753739</v>
      </c>
      <c r="G71" s="117">
        <f t="shared" si="21"/>
        <v>1.1356381793202388</v>
      </c>
      <c r="H71" s="117">
        <f t="shared" si="21"/>
        <v>-24.047345126077534</v>
      </c>
      <c r="I71" s="117">
        <f t="shared" si="21"/>
        <v>-24.016443870521705</v>
      </c>
      <c r="J71" s="117">
        <f t="shared" si="21"/>
        <v>-12.028233836775911</v>
      </c>
      <c r="K71" s="117">
        <f t="shared" si="21"/>
        <v>-37.454576197271322</v>
      </c>
      <c r="L71" s="116">
        <f>SUM(D71:INDEX(D71:K71,0,MATCH('RFPR cover'!$C$7,$D$6:$K$6,0)))</f>
        <v>-56.360579108383462</v>
      </c>
      <c r="M71" s="118">
        <f>SUM(D71:K71)</f>
        <v>-93.815155305654784</v>
      </c>
    </row>
    <row r="72" spans="2:20">
      <c r="B72" s="319"/>
      <c r="C72" s="745"/>
      <c r="D72" s="745"/>
      <c r="E72" s="745"/>
      <c r="F72" s="745"/>
      <c r="G72" s="745"/>
      <c r="H72" s="745"/>
      <c r="I72" s="745"/>
      <c r="J72" s="745"/>
      <c r="K72" s="745"/>
      <c r="L72" s="745"/>
      <c r="M72" s="745"/>
    </row>
    <row r="74" spans="2:20">
      <c r="B74" s="592" t="s">
        <v>210</v>
      </c>
      <c r="C74" s="119"/>
      <c r="D74" s="63"/>
      <c r="E74" s="63"/>
      <c r="F74" s="63"/>
      <c r="G74" s="63"/>
      <c r="H74" s="63"/>
      <c r="I74" s="63"/>
      <c r="J74" s="63"/>
      <c r="K74" s="63"/>
      <c r="L74" s="63"/>
      <c r="M74" s="63"/>
      <c r="N74" s="63"/>
    </row>
    <row r="75" spans="2:20">
      <c r="B75" s="301" t="s">
        <v>209</v>
      </c>
      <c r="C75" s="300"/>
      <c r="D75" s="300"/>
      <c r="E75" s="300"/>
      <c r="F75" s="300"/>
      <c r="G75" s="300"/>
      <c r="H75" s="300"/>
      <c r="I75" s="300"/>
      <c r="J75" s="300"/>
      <c r="K75" s="300"/>
      <c r="L75" s="300"/>
      <c r="M75" s="300"/>
      <c r="N75" s="300"/>
    </row>
    <row r="76" spans="2:20">
      <c r="B76" s="762"/>
      <c r="C76" s="751"/>
      <c r="D76" s="751"/>
      <c r="E76" s="751"/>
      <c r="F76" s="751"/>
      <c r="G76" s="751"/>
      <c r="H76" s="751"/>
      <c r="I76" s="751"/>
      <c r="J76" s="751"/>
      <c r="K76" s="751"/>
      <c r="L76" s="751"/>
      <c r="M76" s="751"/>
      <c r="N76" s="751"/>
    </row>
    <row r="77" spans="2:20">
      <c r="B77" s="106" t="s">
        <v>213</v>
      </c>
      <c r="C77" s="737" t="str">
        <f>'RFPR cover'!$C$14</f>
        <v>£m 12/13</v>
      </c>
      <c r="D77" s="996">
        <f>INDEX(Data!$C$119:$L$146,MATCH('RFPR cover'!$C$5,Data!$B$119:$B$146,0),MATCH('R4 - Totex'!D$6,Data!$C$118:$L$118,0))</f>
        <v>-2.1317145269512103</v>
      </c>
      <c r="E77" s="997">
        <f>INDEX(Data!$C$119:$L$146,MATCH('RFPR cover'!$C$5,Data!$B$119:$B$146,0),MATCH('R4 - Totex'!E$6,Data!$C$118:$L$118,0))</f>
        <v>-2.193973633026753</v>
      </c>
      <c r="F77" s="997">
        <f>INDEX(Data!$C$119:$L$146,MATCH('RFPR cover'!$C$5,Data!$B$119:$B$146,0),MATCH('R4 - Totex'!F$6,Data!$C$118:$L$118,0))</f>
        <v>-1.9869010217130036</v>
      </c>
      <c r="G77" s="997">
        <f>INDEX(Data!$C$119:$L$146,MATCH('RFPR cover'!$C$5,Data!$B$119:$B$146,0),MATCH('R4 - Totex'!G$6,Data!$C$118:$L$118,0))</f>
        <v>-1.8037552784318813</v>
      </c>
      <c r="H77" s="997">
        <f>INDEX(Data!$C$119:$L$146,MATCH('RFPR cover'!$C$5,Data!$B$119:$B$146,0),MATCH('R4 - Totex'!H$6,Data!$C$118:$L$118,0))</f>
        <v>-1.7767942495618843</v>
      </c>
      <c r="I77" s="997">
        <f>INDEX(Data!$C$119:$L$146,MATCH('RFPR cover'!$C$5,Data!$B$119:$B$146,0),MATCH('R4 - Totex'!I$6,Data!$C$118:$L$118,0))</f>
        <v>-1.7901472583807538</v>
      </c>
      <c r="J77" s="997">
        <f>INDEX(Data!$C$119:$L$146,MATCH('RFPR cover'!$C$5,Data!$B$119:$B$146,0),MATCH('R4 - Totex'!J$6,Data!$C$118:$L$118,0))</f>
        <v>-1.6444113686346382</v>
      </c>
      <c r="K77" s="998">
        <f>INDEX(Data!$C$119:$L$146,MATCH('RFPR cover'!$C$5,Data!$B$119:$B$146,0),MATCH('R4 - Totex'!K$6,Data!$C$118:$L$118,0))</f>
        <v>-1.467384504290556</v>
      </c>
      <c r="L77" s="81">
        <f>SUM(D77:INDEX(D77:K77,0,MATCH('RFPR cover'!$C$7,$D$6:$K$6,0)))</f>
        <v>-13.327697336700126</v>
      </c>
      <c r="M77" s="83">
        <f>SUM(D77:K77)</f>
        <v>-14.795081840990683</v>
      </c>
    </row>
    <row r="78" spans="2:20">
      <c r="B78" s="106" t="s">
        <v>197</v>
      </c>
      <c r="C78" s="736" t="s">
        <v>7</v>
      </c>
      <c r="D78" s="999" t="str">
        <f>IF(INDEX(Data!$J$73:$J$100,MATCH('RFPR cover'!$C$5,Data!$B$73:$B$100,0),0)="Pre",INDEX(Data!$G$18:$G$27,MATCH('R4 - Totex'!D$6,Data!$C$18:$C$27,0),0),"n/a")</f>
        <v>n/a</v>
      </c>
      <c r="E78" s="1000" t="str">
        <f>IF(INDEX(Data!$J$73:$J$100,MATCH('RFPR cover'!$C$5,Data!$B$73:$B$100,0),0)="Pre",INDEX(Data!$G$18:$G$27,MATCH('R4 - Totex'!E$6,Data!$C$18:$C$27,0),0),"n/a")</f>
        <v>n/a</v>
      </c>
      <c r="F78" s="1000" t="str">
        <f>IF(INDEX(Data!$J$73:$J$100,MATCH('RFPR cover'!$C$5,Data!$B$73:$B$100,0),0)="Pre",INDEX(Data!$G$18:$G$27,MATCH('R4 - Totex'!F$6,Data!$C$18:$C$27,0),0),"n/a")</f>
        <v>n/a</v>
      </c>
      <c r="G78" s="1000" t="str">
        <f>IF(INDEX(Data!$J$73:$J$100,MATCH('RFPR cover'!$C$5,Data!$B$73:$B$100,0),0)="Pre",INDEX(Data!$G$18:$G$27,MATCH('R4 - Totex'!G$6,Data!$C$18:$C$27,0),0),"n/a")</f>
        <v>n/a</v>
      </c>
      <c r="H78" s="1000" t="str">
        <f>IF(INDEX(Data!$J$73:$J$100,MATCH('RFPR cover'!$C$5,Data!$B$73:$B$100,0),0)="Pre",INDEX(Data!$G$18:$G$27,MATCH('R4 - Totex'!H$6,Data!$C$18:$C$27,0),0),"n/a")</f>
        <v>n/a</v>
      </c>
      <c r="I78" s="1000" t="str">
        <f>IF(INDEX(Data!$J$73:$J$100,MATCH('RFPR cover'!$C$5,Data!$B$73:$B$100,0),0)="Pre",INDEX(Data!$G$18:$G$27,MATCH('R4 - Totex'!I$6,Data!$C$18:$C$27,0),0),"n/a")</f>
        <v>n/a</v>
      </c>
      <c r="J78" s="1000" t="str">
        <f>IF(INDEX(Data!$J$73:$J$100,MATCH('RFPR cover'!$C$5,Data!$B$73:$B$100,0),0)="Pre",INDEX(Data!$G$18:$G$27,MATCH('R4 - Totex'!J$6,Data!$C$18:$C$27,0),0),"n/a")</f>
        <v>n/a</v>
      </c>
      <c r="K78" s="1001" t="str">
        <f>IF(INDEX(Data!$J$73:$J$100,MATCH('RFPR cover'!$C$5,Data!$B$73:$B$100,0),0)="Pre",INDEX(Data!$G$18:$G$27,MATCH('R4 - Totex'!K$6,Data!$C$18:$C$27,0),0),"n/a")</f>
        <v>n/a</v>
      </c>
      <c r="L78" s="656"/>
      <c r="M78" s="657"/>
    </row>
    <row r="79" spans="2:20">
      <c r="B79" s="106" t="s">
        <v>206</v>
      </c>
      <c r="C79" s="737" t="str">
        <f>'RFPR cover'!$C$14</f>
        <v>£m 12/13</v>
      </c>
      <c r="D79" s="501">
        <f>IF(ISNUMBER(D78),D77*(1-D78),D77)</f>
        <v>-2.1317145269512103</v>
      </c>
      <c r="E79" s="502">
        <f t="shared" ref="E79:K79" si="22">IF(ISNUMBER(E78),E77*(1-E78),E77)</f>
        <v>-2.193973633026753</v>
      </c>
      <c r="F79" s="502">
        <f t="shared" si="22"/>
        <v>-1.9869010217130036</v>
      </c>
      <c r="G79" s="502">
        <f t="shared" si="22"/>
        <v>-1.8037552784318813</v>
      </c>
      <c r="H79" s="502">
        <f t="shared" si="22"/>
        <v>-1.7767942495618843</v>
      </c>
      <c r="I79" s="502">
        <f t="shared" si="22"/>
        <v>-1.7901472583807538</v>
      </c>
      <c r="J79" s="502">
        <f t="shared" si="22"/>
        <v>-1.6444113686346382</v>
      </c>
      <c r="K79" s="503">
        <f t="shared" si="22"/>
        <v>-1.467384504290556</v>
      </c>
      <c r="L79" s="533">
        <f>SUM(D79:INDEX(D79:K79,0,MATCH('RFPR cover'!$C$7,$D$6:$K$6,0)))</f>
        <v>-13.327697336700126</v>
      </c>
      <c r="M79" s="534">
        <f>SUM(D79:K79)</f>
        <v>-14.795081840990683</v>
      </c>
    </row>
    <row r="80" spans="2:20">
      <c r="C80" s="736"/>
      <c r="D80" s="763"/>
      <c r="E80" s="763"/>
      <c r="F80" s="763"/>
      <c r="G80" s="763"/>
      <c r="H80" s="763"/>
      <c r="I80" s="763"/>
      <c r="J80" s="763"/>
      <c r="K80" s="763"/>
      <c r="L80" s="224"/>
      <c r="M80" s="224"/>
    </row>
    <row r="81" spans="2:20">
      <c r="C81" s="736"/>
      <c r="D81" s="763"/>
      <c r="E81" s="763"/>
      <c r="F81" s="763"/>
      <c r="G81" s="763"/>
      <c r="H81" s="763"/>
      <c r="I81" s="763"/>
      <c r="J81" s="763"/>
      <c r="K81" s="763"/>
      <c r="L81" s="224"/>
      <c r="M81" s="224"/>
    </row>
    <row r="82" spans="2:20">
      <c r="C82" s="736"/>
      <c r="D82" s="763"/>
      <c r="E82" s="763"/>
      <c r="F82" s="763"/>
      <c r="G82" s="763"/>
      <c r="H82" s="763"/>
      <c r="I82" s="763"/>
      <c r="J82" s="763"/>
      <c r="K82" s="763"/>
      <c r="L82" s="224"/>
      <c r="M82" s="224"/>
    </row>
    <row r="84" spans="2:20">
      <c r="B84" s="756" t="s">
        <v>183</v>
      </c>
      <c r="C84" s="232"/>
      <c r="D84" s="234"/>
      <c r="E84" s="234"/>
      <c r="F84" s="234"/>
      <c r="G84" s="234"/>
      <c r="H84" s="234"/>
      <c r="I84" s="234"/>
      <c r="J84" s="234"/>
      <c r="K84" s="234"/>
      <c r="L84" s="234"/>
      <c r="M84" s="234"/>
      <c r="N84" s="234"/>
    </row>
    <row r="85" spans="2:20">
      <c r="B85" s="319"/>
    </row>
    <row r="86" spans="2:20">
      <c r="B86" s="106" t="str">
        <f>Data!B34</f>
        <v>Financial Year Average RPI (RPIt)</v>
      </c>
      <c r="C86" s="109" t="s">
        <v>124</v>
      </c>
      <c r="D86" s="95">
        <f>Data!C$34</f>
        <v>1.0603167467048125</v>
      </c>
      <c r="E86" s="96">
        <f>Data!D$34</f>
        <v>1.0830366813119445</v>
      </c>
      <c r="F86" s="96">
        <f>Data!E$34</f>
        <v>1.1235639113109226</v>
      </c>
      <c r="G86" s="96">
        <f>Data!F$34</f>
        <v>1.1578951670583426</v>
      </c>
      <c r="H86" s="96">
        <f>Data!G$34</f>
        <v>1.1878696229692449</v>
      </c>
      <c r="I86" s="96">
        <f>Data!H$34</f>
        <v>1.202275126868976</v>
      </c>
      <c r="J86" s="96">
        <f>Data!I$34</f>
        <v>1.2717209904294811</v>
      </c>
      <c r="K86" s="97">
        <f>Data!J$34</f>
        <v>1.3772738326351281</v>
      </c>
    </row>
    <row r="87" spans="2:20">
      <c r="D87" s="109"/>
      <c r="E87" s="109"/>
      <c r="F87" s="109"/>
      <c r="G87" s="109"/>
      <c r="H87" s="109"/>
      <c r="I87" s="109"/>
      <c r="J87" s="109"/>
      <c r="K87" s="109"/>
    </row>
    <row r="88" spans="2:20">
      <c r="B88" s="592" t="str">
        <f>B10</f>
        <v>Totex</v>
      </c>
      <c r="C88" s="119"/>
      <c r="D88" s="64"/>
      <c r="E88" s="64"/>
      <c r="F88" s="64"/>
      <c r="G88" s="64"/>
      <c r="H88" s="64"/>
      <c r="I88" s="64"/>
      <c r="J88" s="64"/>
      <c r="K88" s="64"/>
      <c r="L88" s="64"/>
      <c r="M88" s="64"/>
      <c r="N88" s="64"/>
    </row>
    <row r="89" spans="2:20">
      <c r="B89" s="319"/>
      <c r="D89" s="1"/>
      <c r="E89" s="1"/>
      <c r="F89" s="1"/>
      <c r="G89" s="1"/>
      <c r="H89" s="1"/>
      <c r="I89" s="1"/>
      <c r="J89" s="1"/>
      <c r="K89" s="1"/>
      <c r="L89" s="1"/>
      <c r="M89" s="1"/>
      <c r="N89" s="1"/>
    </row>
    <row r="90" spans="2:20">
      <c r="B90" s="174" t="s">
        <v>32</v>
      </c>
      <c r="C90" s="736" t="s">
        <v>125</v>
      </c>
      <c r="D90" s="78">
        <f t="shared" ref="D90:K91" si="23">D12*D$86</f>
        <v>240.11642136538276</v>
      </c>
      <c r="E90" s="79">
        <f t="shared" si="23"/>
        <v>256.61387466175569</v>
      </c>
      <c r="F90" s="79">
        <f t="shared" si="23"/>
        <v>270.44276693581941</v>
      </c>
      <c r="G90" s="79">
        <f t="shared" si="23"/>
        <v>290.88877681712836</v>
      </c>
      <c r="H90" s="79">
        <f t="shared" si="23"/>
        <v>272.29014395766211</v>
      </c>
      <c r="I90" s="79">
        <f t="shared" si="23"/>
        <v>249.70885628554799</v>
      </c>
      <c r="J90" s="79">
        <f t="shared" si="23"/>
        <v>266.0259799910786</v>
      </c>
      <c r="K90" s="79">
        <f t="shared" si="23"/>
        <v>302.72761226125846</v>
      </c>
      <c r="L90" s="535">
        <f>SUM(D90:INDEX(D90:K90,0,MATCH('RFPR cover'!$C$7,$D$6:$K$6,0)))</f>
        <v>1846.086820014375</v>
      </c>
      <c r="M90" s="536">
        <f>SUM(D90:K90)</f>
        <v>2148.8144322756334</v>
      </c>
      <c r="N90" s="46"/>
      <c r="O90" s="46"/>
    </row>
    <row r="91" spans="2:20" ht="25.5">
      <c r="B91" s="757" t="s">
        <v>193</v>
      </c>
      <c r="C91" s="736" t="s">
        <v>125</v>
      </c>
      <c r="D91" s="75">
        <f t="shared" si="23"/>
        <v>250.56019890227594</v>
      </c>
      <c r="E91" s="76">
        <f t="shared" si="23"/>
        <v>266.02028368093607</v>
      </c>
      <c r="F91" s="76">
        <f t="shared" si="23"/>
        <v>252.96632009349571</v>
      </c>
      <c r="G91" s="76">
        <f t="shared" si="23"/>
        <v>240.08535511269253</v>
      </c>
      <c r="H91" s="76">
        <f t="shared" si="23"/>
        <v>245.26926367919708</v>
      </c>
      <c r="I91" s="76">
        <f t="shared" si="23"/>
        <v>252.21386399545517</v>
      </c>
      <c r="J91" s="76">
        <f t="shared" si="23"/>
        <v>259.63146947606293</v>
      </c>
      <c r="K91" s="76">
        <f t="shared" si="23"/>
        <v>265.19059764519642</v>
      </c>
      <c r="L91" s="537">
        <f>SUM(D91:INDEX(D91:K91,0,MATCH('RFPR cover'!$C$7,$D$6:$K$6,0)))</f>
        <v>1766.7467549401154</v>
      </c>
      <c r="M91" s="538">
        <f>SUM(D91:K91)</f>
        <v>2031.9373525853118</v>
      </c>
      <c r="N91" s="46"/>
      <c r="O91" s="46"/>
    </row>
    <row r="92" spans="2:20">
      <c r="B92" s="628" t="s">
        <v>191</v>
      </c>
      <c r="C92" s="736" t="s">
        <v>125</v>
      </c>
      <c r="D92" s="85">
        <f>D91-D90</f>
        <v>10.44377753689318</v>
      </c>
      <c r="E92" s="86">
        <f t="shared" ref="E92:M92" si="24">E91-E90</f>
        <v>9.4064090191803871</v>
      </c>
      <c r="F92" s="86">
        <f t="shared" si="24"/>
        <v>-17.476446842323696</v>
      </c>
      <c r="G92" s="86">
        <f t="shared" si="24"/>
        <v>-50.803421704435834</v>
      </c>
      <c r="H92" s="86">
        <f t="shared" si="24"/>
        <v>-27.020880278465029</v>
      </c>
      <c r="I92" s="86">
        <f t="shared" si="24"/>
        <v>2.5050077099071757</v>
      </c>
      <c r="J92" s="86">
        <f t="shared" si="24"/>
        <v>-6.3945105150156678</v>
      </c>
      <c r="K92" s="87">
        <f t="shared" si="24"/>
        <v>-37.537014616062038</v>
      </c>
      <c r="L92" s="85">
        <f t="shared" si="24"/>
        <v>-79.340065074259655</v>
      </c>
      <c r="M92" s="87">
        <f t="shared" si="24"/>
        <v>-116.87707969032158</v>
      </c>
      <c r="N92" s="46"/>
      <c r="O92" s="980"/>
      <c r="P92" s="980"/>
      <c r="Q92" s="980"/>
      <c r="R92"/>
      <c r="S92"/>
      <c r="T92"/>
    </row>
    <row r="93" spans="2:20">
      <c r="B93" s="628"/>
      <c r="C93" s="736"/>
      <c r="D93" s="758"/>
      <c r="E93" s="758"/>
      <c r="F93" s="758"/>
      <c r="G93" s="758"/>
      <c r="H93" s="758"/>
      <c r="I93" s="758"/>
      <c r="J93" s="758"/>
      <c r="K93" s="758"/>
      <c r="L93" s="758"/>
      <c r="M93" s="758"/>
      <c r="O93" s="47"/>
      <c r="P93" s="47"/>
      <c r="Q93" s="47"/>
      <c r="R93"/>
      <c r="S93"/>
      <c r="T93"/>
    </row>
    <row r="94" spans="2:20">
      <c r="B94" s="106" t="s">
        <v>174</v>
      </c>
      <c r="C94" s="109" t="s">
        <v>7</v>
      </c>
      <c r="D94" s="92">
        <f>1-INDEX(Data!$D$73:$D$100,MATCH('RFPR cover'!$C$5,Data!$B$73:$B$100,0),0)</f>
        <v>0.46499999999999997</v>
      </c>
      <c r="E94" s="93">
        <f>1-INDEX(Data!$D$73:$D$100,MATCH('RFPR cover'!$C$5,Data!$B$73:$B$100,0),0)</f>
        <v>0.46499999999999997</v>
      </c>
      <c r="F94" s="93">
        <f>1-INDEX(Data!$D$73:$D$100,MATCH('RFPR cover'!$C$5,Data!$B$73:$B$100,0),0)</f>
        <v>0.46499999999999997</v>
      </c>
      <c r="G94" s="93">
        <f>1-INDEX(Data!$D$73:$D$100,MATCH('RFPR cover'!$C$5,Data!$B$73:$B$100,0),0)</f>
        <v>0.46499999999999997</v>
      </c>
      <c r="H94" s="93">
        <f>1-INDEX(Data!$D$73:$D$100,MATCH('RFPR cover'!$C$5,Data!$B$73:$B$100,0),0)</f>
        <v>0.46499999999999997</v>
      </c>
      <c r="I94" s="93">
        <f>1-INDEX(Data!$D$73:$D$100,MATCH('RFPR cover'!$C$5,Data!$B$73:$B$100,0),0)</f>
        <v>0.46499999999999997</v>
      </c>
      <c r="J94" s="93">
        <f>1-INDEX(Data!$D$73:$D$100,MATCH('RFPR cover'!$C$5,Data!$B$73:$B$100,0),0)</f>
        <v>0.46499999999999997</v>
      </c>
      <c r="K94" s="94">
        <f>1-INDEX(Data!$D$73:$D$100,MATCH('RFPR cover'!$C$5,Data!$B$73:$B$100,0),0)</f>
        <v>0.46499999999999997</v>
      </c>
      <c r="L94" s="45"/>
      <c r="M94" s="45"/>
      <c r="O94"/>
      <c r="P94"/>
      <c r="Q94"/>
      <c r="R94"/>
      <c r="S94"/>
      <c r="T94"/>
    </row>
    <row r="95" spans="2:20">
      <c r="O95"/>
      <c r="P95"/>
      <c r="Q95"/>
      <c r="R95"/>
      <c r="S95"/>
      <c r="T95"/>
    </row>
    <row r="96" spans="2:20">
      <c r="B96" s="106" t="s">
        <v>179</v>
      </c>
      <c r="C96" s="736" t="s">
        <v>125</v>
      </c>
      <c r="D96" s="78">
        <f>D92*D94</f>
        <v>4.8563565546553278</v>
      </c>
      <c r="E96" s="79">
        <f t="shared" ref="E96:K96" si="25">E92*E94</f>
        <v>4.3739801939188796</v>
      </c>
      <c r="F96" s="79">
        <f t="shared" si="25"/>
        <v>-8.1265477816805181</v>
      </c>
      <c r="G96" s="79">
        <f t="shared" si="25"/>
        <v>-23.623591092562663</v>
      </c>
      <c r="H96" s="79">
        <f t="shared" si="25"/>
        <v>-12.564709329486238</v>
      </c>
      <c r="I96" s="79">
        <f t="shared" si="25"/>
        <v>1.1648285851068365</v>
      </c>
      <c r="J96" s="79">
        <f t="shared" si="25"/>
        <v>-2.9734473894822853</v>
      </c>
      <c r="K96" s="79">
        <f t="shared" si="25"/>
        <v>-17.454711796468846</v>
      </c>
      <c r="L96" s="78">
        <f>SUM(D96:INDEX(D96:K96,0,MATCH('RFPR cover'!$C$7,$D$6:$K$6,0)))</f>
        <v>-36.893130259530658</v>
      </c>
      <c r="M96" s="80">
        <f>SUM(D96:K96)</f>
        <v>-54.347842055999507</v>
      </c>
      <c r="O96"/>
      <c r="P96"/>
      <c r="Q96"/>
      <c r="R96"/>
      <c r="S96"/>
      <c r="T96"/>
    </row>
    <row r="97" spans="1:20">
      <c r="B97" s="106" t="s">
        <v>274</v>
      </c>
      <c r="C97" s="736" t="s">
        <v>125</v>
      </c>
      <c r="D97" s="75">
        <f>D92*(1-D94)</f>
        <v>5.5874209822378518</v>
      </c>
      <c r="E97" s="76">
        <f t="shared" ref="E97:K97" si="26">E92*(1-E94)</f>
        <v>5.0324288252615075</v>
      </c>
      <c r="F97" s="76">
        <f t="shared" si="26"/>
        <v>-9.3498990606431782</v>
      </c>
      <c r="G97" s="76">
        <f t="shared" si="26"/>
        <v>-27.179830611873172</v>
      </c>
      <c r="H97" s="76">
        <f t="shared" si="26"/>
        <v>-14.456170948978791</v>
      </c>
      <c r="I97" s="76">
        <f t="shared" si="26"/>
        <v>1.3401791248003392</v>
      </c>
      <c r="J97" s="76">
        <f t="shared" si="26"/>
        <v>-3.4210631255333825</v>
      </c>
      <c r="K97" s="76">
        <f t="shared" si="26"/>
        <v>-20.082302819593192</v>
      </c>
      <c r="L97" s="75">
        <f>SUM(D97:INDEX(D97:K97,0,MATCH('RFPR cover'!$C$7,$D$6:$K$6,0)))</f>
        <v>-42.446934814728827</v>
      </c>
      <c r="M97" s="77">
        <f>SUM(D97:K97)</f>
        <v>-62.529237634322016</v>
      </c>
      <c r="O97"/>
      <c r="P97"/>
      <c r="Q97"/>
      <c r="R97"/>
      <c r="S97"/>
      <c r="T97"/>
    </row>
    <row r="98" spans="1:20">
      <c r="O98"/>
      <c r="P98"/>
      <c r="Q98"/>
      <c r="R98"/>
      <c r="S98"/>
      <c r="T98"/>
    </row>
    <row r="99" spans="1:20">
      <c r="B99" s="319" t="s">
        <v>178</v>
      </c>
      <c r="N99" s="46"/>
      <c r="O99"/>
      <c r="P99"/>
      <c r="Q99"/>
      <c r="R99"/>
      <c r="S99"/>
      <c r="T99"/>
    </row>
    <row r="100" spans="1:20">
      <c r="A100" s="3" t="s">
        <v>148</v>
      </c>
      <c r="B100" s="106" t="str">
        <f t="shared" ref="B100:B105" si="27">B22</f>
        <v>Timing difference and over/under performance</v>
      </c>
      <c r="C100" s="736" t="s">
        <v>125</v>
      </c>
      <c r="D100" s="482">
        <f t="shared" ref="D100:K105" si="28">D22*D$86</f>
        <v>-9.1800471284458212</v>
      </c>
      <c r="E100" s="563">
        <f t="shared" si="28"/>
        <v>-8.6612777501133387</v>
      </c>
      <c r="F100" s="563">
        <f t="shared" si="28"/>
        <v>18.280875136805832</v>
      </c>
      <c r="G100" s="563">
        <f t="shared" si="28"/>
        <v>52.118371663797646</v>
      </c>
      <c r="H100" s="563">
        <f t="shared" si="28"/>
        <v>-1.5442305098600184</v>
      </c>
      <c r="I100" s="563">
        <f t="shared" si="28"/>
        <v>-31.379380811280274</v>
      </c>
      <c r="J100" s="563">
        <f t="shared" si="28"/>
        <v>-8.9020469330063676</v>
      </c>
      <c r="K100" s="483">
        <f t="shared" si="28"/>
        <v>-14.048193092878305</v>
      </c>
      <c r="L100" s="482">
        <f>SUM(D100:INDEX(D100:K100,0,MATCH('RFPR cover'!$C$7,$D$6:$K$6,0)))</f>
        <v>10.732263667897652</v>
      </c>
      <c r="M100" s="483">
        <f t="shared" ref="M100:M106" si="29">SUM(D100:K100)</f>
        <v>-3.3159294249806539</v>
      </c>
      <c r="N100" s="46"/>
      <c r="O100"/>
      <c r="P100"/>
      <c r="Q100"/>
      <c r="R100"/>
      <c r="S100"/>
      <c r="T100"/>
    </row>
    <row r="101" spans="1:20">
      <c r="A101" s="3" t="s">
        <v>149</v>
      </c>
      <c r="B101" s="106" t="str">
        <f t="shared" si="27"/>
        <v>[Enduring Value adjustment]</v>
      </c>
      <c r="C101" s="736" t="s">
        <v>125</v>
      </c>
      <c r="D101" s="486">
        <f t="shared" si="28"/>
        <v>0</v>
      </c>
      <c r="E101" s="1002">
        <f t="shared" si="28"/>
        <v>0</v>
      </c>
      <c r="F101" s="1002">
        <f t="shared" si="28"/>
        <v>0</v>
      </c>
      <c r="G101" s="1002">
        <f t="shared" si="28"/>
        <v>0</v>
      </c>
      <c r="H101" s="1002">
        <f t="shared" si="28"/>
        <v>0</v>
      </c>
      <c r="I101" s="1002">
        <f t="shared" si="28"/>
        <v>0</v>
      </c>
      <c r="J101" s="1002">
        <f t="shared" si="28"/>
        <v>0</v>
      </c>
      <c r="K101" s="487">
        <f t="shared" si="28"/>
        <v>0</v>
      </c>
      <c r="L101" s="486">
        <f>SUM(D101:INDEX(D101:K101,0,MATCH('RFPR cover'!$C$7,$D$6:$K$6,0)))</f>
        <v>0</v>
      </c>
      <c r="M101" s="487">
        <f t="shared" si="29"/>
        <v>0</v>
      </c>
      <c r="N101" s="46"/>
      <c r="O101"/>
      <c r="P101"/>
      <c r="Q101"/>
      <c r="R101"/>
      <c r="S101"/>
      <c r="T101"/>
    </row>
    <row r="102" spans="1:20">
      <c r="A102" s="3" t="s">
        <v>150</v>
      </c>
      <c r="B102" s="106" t="str">
        <f t="shared" si="27"/>
        <v>[Enduring Value adjustment]</v>
      </c>
      <c r="C102" s="736" t="s">
        <v>125</v>
      </c>
      <c r="D102" s="486">
        <f t="shared" si="28"/>
        <v>0</v>
      </c>
      <c r="E102" s="1002">
        <f t="shared" si="28"/>
        <v>0</v>
      </c>
      <c r="F102" s="1002">
        <f t="shared" si="28"/>
        <v>0</v>
      </c>
      <c r="G102" s="1002">
        <f t="shared" si="28"/>
        <v>0</v>
      </c>
      <c r="H102" s="1002">
        <f t="shared" si="28"/>
        <v>0</v>
      </c>
      <c r="I102" s="1002">
        <f t="shared" si="28"/>
        <v>0</v>
      </c>
      <c r="J102" s="1002">
        <f t="shared" si="28"/>
        <v>0</v>
      </c>
      <c r="K102" s="487">
        <f t="shared" si="28"/>
        <v>0</v>
      </c>
      <c r="L102" s="486">
        <f>SUM(D102:INDEX(D102:K102,0,MATCH('RFPR cover'!$C$7,$D$6:$K$6,0)))</f>
        <v>0</v>
      </c>
      <c r="M102" s="487">
        <f t="shared" si="29"/>
        <v>0</v>
      </c>
      <c r="N102" s="46"/>
      <c r="O102"/>
      <c r="P102"/>
      <c r="Q102"/>
      <c r="R102"/>
      <c r="S102" s="48"/>
      <c r="T102"/>
    </row>
    <row r="103" spans="1:20">
      <c r="A103" s="3" t="s">
        <v>164</v>
      </c>
      <c r="B103" s="106" t="str">
        <f t="shared" si="27"/>
        <v>[Enduring Value adjustment]</v>
      </c>
      <c r="C103" s="736" t="s">
        <v>125</v>
      </c>
      <c r="D103" s="486">
        <f t="shared" si="28"/>
        <v>0</v>
      </c>
      <c r="E103" s="1002">
        <f t="shared" si="28"/>
        <v>0</v>
      </c>
      <c r="F103" s="1002">
        <f t="shared" si="28"/>
        <v>0</v>
      </c>
      <c r="G103" s="1002">
        <f t="shared" si="28"/>
        <v>0</v>
      </c>
      <c r="H103" s="1002">
        <f t="shared" si="28"/>
        <v>0</v>
      </c>
      <c r="I103" s="1002">
        <f t="shared" si="28"/>
        <v>0</v>
      </c>
      <c r="J103" s="1002">
        <f t="shared" si="28"/>
        <v>0</v>
      </c>
      <c r="K103" s="487">
        <f t="shared" si="28"/>
        <v>0</v>
      </c>
      <c r="L103" s="486">
        <f>SUM(D103:INDEX(D103:K103,0,MATCH('RFPR cover'!$C$7,$D$6:$K$6,0)))</f>
        <v>0</v>
      </c>
      <c r="M103" s="487">
        <f t="shared" si="29"/>
        <v>0</v>
      </c>
      <c r="N103" s="46"/>
      <c r="O103"/>
      <c r="P103"/>
      <c r="Q103"/>
      <c r="R103"/>
      <c r="S103"/>
      <c r="T103"/>
    </row>
    <row r="104" spans="1:20">
      <c r="A104" s="3" t="s">
        <v>165</v>
      </c>
      <c r="B104" s="106" t="str">
        <f t="shared" si="27"/>
        <v>[Enduring Value adjustment]</v>
      </c>
      <c r="C104" s="736" t="s">
        <v>125</v>
      </c>
      <c r="D104" s="486">
        <f t="shared" si="28"/>
        <v>0</v>
      </c>
      <c r="E104" s="1002">
        <f t="shared" si="28"/>
        <v>0</v>
      </c>
      <c r="F104" s="1002">
        <f t="shared" si="28"/>
        <v>0</v>
      </c>
      <c r="G104" s="1002">
        <f t="shared" si="28"/>
        <v>0</v>
      </c>
      <c r="H104" s="1002">
        <f t="shared" si="28"/>
        <v>0</v>
      </c>
      <c r="I104" s="1002">
        <f t="shared" si="28"/>
        <v>0</v>
      </c>
      <c r="J104" s="1002">
        <f t="shared" si="28"/>
        <v>0</v>
      </c>
      <c r="K104" s="487">
        <f t="shared" si="28"/>
        <v>0</v>
      </c>
      <c r="L104" s="486">
        <f>SUM(D104:INDEX(D104:K104,0,MATCH('RFPR cover'!$C$7,$D$6:$K$6,0)))</f>
        <v>0</v>
      </c>
      <c r="M104" s="487">
        <f t="shared" si="29"/>
        <v>0</v>
      </c>
      <c r="N104" s="46"/>
      <c r="O104"/>
      <c r="P104"/>
      <c r="Q104"/>
      <c r="R104"/>
      <c r="S104"/>
      <c r="T104"/>
    </row>
    <row r="105" spans="1:20">
      <c r="A105" s="3" t="s">
        <v>166</v>
      </c>
      <c r="B105" s="106" t="str">
        <f t="shared" si="27"/>
        <v>[Enduring Value adjustment]</v>
      </c>
      <c r="C105" s="736" t="s">
        <v>125</v>
      </c>
      <c r="D105" s="1003">
        <f t="shared" si="28"/>
        <v>0</v>
      </c>
      <c r="E105" s="1004">
        <f t="shared" si="28"/>
        <v>0</v>
      </c>
      <c r="F105" s="1004">
        <f t="shared" si="28"/>
        <v>0</v>
      </c>
      <c r="G105" s="1004">
        <f t="shared" si="28"/>
        <v>0</v>
      </c>
      <c r="H105" s="1004">
        <f t="shared" si="28"/>
        <v>0</v>
      </c>
      <c r="I105" s="1004">
        <f t="shared" si="28"/>
        <v>0</v>
      </c>
      <c r="J105" s="1004">
        <f t="shared" si="28"/>
        <v>0</v>
      </c>
      <c r="K105" s="1005">
        <f t="shared" si="28"/>
        <v>0</v>
      </c>
      <c r="L105" s="490">
        <f>SUM(D105:INDEX(D105:K105,0,MATCH('RFPR cover'!$C$7,$D$6:$K$6,0)))</f>
        <v>0</v>
      </c>
      <c r="M105" s="491">
        <f t="shared" si="29"/>
        <v>0</v>
      </c>
      <c r="N105" s="46"/>
      <c r="O105"/>
      <c r="P105"/>
      <c r="Q105"/>
      <c r="R105"/>
      <c r="S105"/>
      <c r="T105"/>
    </row>
    <row r="106" spans="1:20">
      <c r="B106" s="319" t="s">
        <v>186</v>
      </c>
      <c r="C106" s="736" t="s">
        <v>125</v>
      </c>
      <c r="D106" s="85">
        <f>SUM(D100:D105)</f>
        <v>-9.1800471284458212</v>
      </c>
      <c r="E106" s="86">
        <f t="shared" ref="E106:K106" si="30">SUM(E100:E105)</f>
        <v>-8.6612777501133387</v>
      </c>
      <c r="F106" s="86">
        <f t="shared" si="30"/>
        <v>18.280875136805832</v>
      </c>
      <c r="G106" s="86">
        <f t="shared" si="30"/>
        <v>52.118371663797646</v>
      </c>
      <c r="H106" s="86">
        <f t="shared" si="30"/>
        <v>-1.5442305098600184</v>
      </c>
      <c r="I106" s="86">
        <f t="shared" si="30"/>
        <v>-31.379380811280274</v>
      </c>
      <c r="J106" s="86">
        <f t="shared" si="30"/>
        <v>-8.9020469330063676</v>
      </c>
      <c r="K106" s="87">
        <f t="shared" si="30"/>
        <v>-14.048193092878305</v>
      </c>
      <c r="L106" s="85">
        <f>SUM(D106:INDEX(D106:K106,0,MATCH('RFPR cover'!$C$7,$D$6:$K$6,0)))</f>
        <v>10.732263667897652</v>
      </c>
      <c r="M106" s="87">
        <f t="shared" si="29"/>
        <v>-3.3159294249806539</v>
      </c>
      <c r="N106" s="46"/>
    </row>
    <row r="108" spans="1:20">
      <c r="B108" s="106" t="s">
        <v>194</v>
      </c>
      <c r="C108" s="736" t="s">
        <v>125</v>
      </c>
      <c r="D108" s="78">
        <f t="shared" ref="D108:K108" si="31">D106*D94</f>
        <v>-4.2687219147273066</v>
      </c>
      <c r="E108" s="79">
        <f t="shared" si="31"/>
        <v>-4.027494153802702</v>
      </c>
      <c r="F108" s="79">
        <f t="shared" si="31"/>
        <v>8.5006069386147107</v>
      </c>
      <c r="G108" s="79">
        <f t="shared" si="31"/>
        <v>24.235042823665903</v>
      </c>
      <c r="H108" s="79">
        <f t="shared" si="31"/>
        <v>-0.71806718708490846</v>
      </c>
      <c r="I108" s="79">
        <f t="shared" si="31"/>
        <v>-14.591412077245327</v>
      </c>
      <c r="J108" s="79">
        <f t="shared" si="31"/>
        <v>-4.1394518238479607</v>
      </c>
      <c r="K108" s="79">
        <f t="shared" si="31"/>
        <v>-6.5324097881884118</v>
      </c>
      <c r="L108" s="78">
        <f>SUM(D108:INDEX(D108:K108,0,MATCH('RFPR cover'!$C$7,$D$6:$K$6,0)))</f>
        <v>4.990502605572412</v>
      </c>
      <c r="M108" s="80">
        <f>SUM(D108:K108)</f>
        <v>-1.5419071826159998</v>
      </c>
    </row>
    <row r="109" spans="1:20">
      <c r="B109" s="106" t="s">
        <v>303</v>
      </c>
      <c r="C109" s="736" t="s">
        <v>125</v>
      </c>
      <c r="D109" s="75">
        <f t="shared" ref="D109:K109" si="32">D106*(1-D94)</f>
        <v>-4.9113252137185146</v>
      </c>
      <c r="E109" s="76">
        <f t="shared" si="32"/>
        <v>-4.6337835963106366</v>
      </c>
      <c r="F109" s="76">
        <f t="shared" si="32"/>
        <v>9.7802681981911217</v>
      </c>
      <c r="G109" s="76">
        <f t="shared" si="32"/>
        <v>27.883328840131743</v>
      </c>
      <c r="H109" s="76">
        <f t="shared" si="32"/>
        <v>-0.82616332277510995</v>
      </c>
      <c r="I109" s="76">
        <f t="shared" si="32"/>
        <v>-16.787968734034948</v>
      </c>
      <c r="J109" s="76">
        <f t="shared" si="32"/>
        <v>-4.7625951091584069</v>
      </c>
      <c r="K109" s="76">
        <f t="shared" si="32"/>
        <v>-7.5157833046898936</v>
      </c>
      <c r="L109" s="75">
        <f>SUM(D109:INDEX(D109:K109,0,MATCH('RFPR cover'!$C$7,$D$6:$K$6,0)))</f>
        <v>5.7417610623252502</v>
      </c>
      <c r="M109" s="77">
        <f>SUM(D109:K109)</f>
        <v>-1.7740222423646435</v>
      </c>
    </row>
    <row r="111" spans="1:20">
      <c r="B111" s="319" t="s">
        <v>177</v>
      </c>
    </row>
    <row r="112" spans="1:20">
      <c r="B112" s="106" t="s">
        <v>176</v>
      </c>
      <c r="C112" s="736" t="s">
        <v>125</v>
      </c>
      <c r="D112" s="78">
        <f>D96+D108</f>
        <v>0.58763463992802123</v>
      </c>
      <c r="E112" s="79">
        <f t="shared" ref="E112:K113" si="33">E96+E108</f>
        <v>0.34648604011617756</v>
      </c>
      <c r="F112" s="79">
        <f t="shared" si="33"/>
        <v>0.37405915693419267</v>
      </c>
      <c r="G112" s="79">
        <f t="shared" si="33"/>
        <v>0.6114517311032408</v>
      </c>
      <c r="H112" s="79">
        <f t="shared" si="33"/>
        <v>-13.282776516571147</v>
      </c>
      <c r="I112" s="79">
        <f t="shared" si="33"/>
        <v>-13.426583492138491</v>
      </c>
      <c r="J112" s="79">
        <f t="shared" si="33"/>
        <v>-7.1128992133302464</v>
      </c>
      <c r="K112" s="79">
        <f t="shared" si="33"/>
        <v>-23.98712158465726</v>
      </c>
      <c r="L112" s="78">
        <f>SUM(D112:INDEX(D112:K112,0,MATCH('RFPR cover'!$C$7,$D$6:$K$6,0)))</f>
        <v>-31.902627653958248</v>
      </c>
      <c r="M112" s="80">
        <f>SUM(D112:K112)</f>
        <v>-55.889749238615508</v>
      </c>
    </row>
    <row r="113" spans="1:20">
      <c r="B113" s="106" t="s">
        <v>274</v>
      </c>
      <c r="C113" s="736" t="s">
        <v>125</v>
      </c>
      <c r="D113" s="427">
        <f>D97+D109</f>
        <v>0.67609576851933717</v>
      </c>
      <c r="E113" s="428">
        <f t="shared" si="33"/>
        <v>0.39864522895087084</v>
      </c>
      <c r="F113" s="428">
        <f t="shared" si="33"/>
        <v>0.43036913754794348</v>
      </c>
      <c r="G113" s="428">
        <f t="shared" si="33"/>
        <v>0.70349822825857089</v>
      </c>
      <c r="H113" s="428">
        <f t="shared" si="33"/>
        <v>-15.2823342717539</v>
      </c>
      <c r="I113" s="428">
        <f t="shared" si="33"/>
        <v>-15.447789609234608</v>
      </c>
      <c r="J113" s="428">
        <f t="shared" si="33"/>
        <v>-8.183658234691789</v>
      </c>
      <c r="K113" s="428">
        <f t="shared" si="33"/>
        <v>-27.598086124283085</v>
      </c>
      <c r="L113" s="427">
        <f>SUM(D113:INDEX(D113:K113,0,MATCH('RFPR cover'!$C$7,$D$6:$K$6,0)))</f>
        <v>-36.705173752403574</v>
      </c>
      <c r="M113" s="429">
        <f>SUM(D113:K113)</f>
        <v>-64.303259876686667</v>
      </c>
    </row>
    <row r="114" spans="1:20">
      <c r="B114" s="319" t="s">
        <v>11</v>
      </c>
      <c r="C114" s="745" t="s">
        <v>125</v>
      </c>
      <c r="D114" s="116">
        <f>SUM(D112:D113)</f>
        <v>1.2637304084473584</v>
      </c>
      <c r="E114" s="117">
        <f t="shared" ref="E114:K114" si="34">SUM(E112:E113)</f>
        <v>0.74513126906704841</v>
      </c>
      <c r="F114" s="117">
        <f t="shared" si="34"/>
        <v>0.80442829448213615</v>
      </c>
      <c r="G114" s="117">
        <f t="shared" si="34"/>
        <v>1.3149499593618117</v>
      </c>
      <c r="H114" s="117">
        <f t="shared" si="34"/>
        <v>-28.565110788325047</v>
      </c>
      <c r="I114" s="117">
        <f t="shared" si="34"/>
        <v>-28.874373101373099</v>
      </c>
      <c r="J114" s="117">
        <f t="shared" si="34"/>
        <v>-15.296557448022035</v>
      </c>
      <c r="K114" s="117">
        <f t="shared" si="34"/>
        <v>-51.585207708940345</v>
      </c>
      <c r="L114" s="116">
        <f>SUM(D114:INDEX(D114:K114,0,MATCH('RFPR cover'!$C$7,$D$6:$K$6,0)))</f>
        <v>-68.60780140636183</v>
      </c>
      <c r="M114" s="118">
        <f>SUM(D114:K114)</f>
        <v>-120.19300911530217</v>
      </c>
    </row>
    <row r="116" spans="1:20">
      <c r="B116" s="592" t="str">
        <f>B38</f>
        <v>n/a</v>
      </c>
      <c r="C116" s="119"/>
      <c r="D116" s="64"/>
      <c r="E116" s="64"/>
      <c r="F116" s="64"/>
      <c r="G116" s="64"/>
      <c r="H116" s="64"/>
      <c r="I116" s="64"/>
      <c r="J116" s="64"/>
      <c r="K116" s="64"/>
      <c r="L116" s="64"/>
      <c r="M116" s="64"/>
      <c r="N116" s="64"/>
    </row>
    <row r="117" spans="1:20">
      <c r="D117" s="1"/>
      <c r="E117" s="1"/>
      <c r="F117" s="1"/>
      <c r="G117" s="1"/>
      <c r="H117" s="1"/>
      <c r="I117" s="1"/>
      <c r="J117" s="1"/>
      <c r="K117" s="1"/>
      <c r="L117" s="1"/>
      <c r="M117" s="1"/>
      <c r="N117" s="1"/>
    </row>
    <row r="118" spans="1:20">
      <c r="B118" s="174" t="s">
        <v>32</v>
      </c>
      <c r="C118" s="736" t="s">
        <v>125</v>
      </c>
      <c r="D118" s="535">
        <f t="shared" ref="D118:K119" si="35">D40*D$86</f>
        <v>0</v>
      </c>
      <c r="E118" s="535">
        <f t="shared" si="35"/>
        <v>0</v>
      </c>
      <c r="F118" s="535">
        <f t="shared" si="35"/>
        <v>0</v>
      </c>
      <c r="G118" s="535">
        <f t="shared" si="35"/>
        <v>0</v>
      </c>
      <c r="H118" s="535">
        <f t="shared" si="35"/>
        <v>0</v>
      </c>
      <c r="I118" s="535">
        <f t="shared" si="35"/>
        <v>0</v>
      </c>
      <c r="J118" s="535">
        <f t="shared" si="35"/>
        <v>0</v>
      </c>
      <c r="K118" s="535">
        <f t="shared" si="35"/>
        <v>0</v>
      </c>
      <c r="L118" s="535">
        <f>SUM(D118:INDEX(D118:K118,0,MATCH('RFPR cover'!$C$7,$D$6:$K$6,0)))</f>
        <v>0</v>
      </c>
      <c r="M118" s="536">
        <f>SUM(D118:K118)</f>
        <v>0</v>
      </c>
      <c r="N118" s="46"/>
      <c r="O118" s="46"/>
    </row>
    <row r="119" spans="1:20" ht="25.5">
      <c r="B119" s="757" t="s">
        <v>193</v>
      </c>
      <c r="C119" s="736" t="s">
        <v>125</v>
      </c>
      <c r="D119" s="535">
        <f t="shared" si="35"/>
        <v>0</v>
      </c>
      <c r="E119" s="535">
        <f t="shared" si="35"/>
        <v>0</v>
      </c>
      <c r="F119" s="535">
        <f t="shared" si="35"/>
        <v>0</v>
      </c>
      <c r="G119" s="535">
        <f t="shared" si="35"/>
        <v>0</v>
      </c>
      <c r="H119" s="535">
        <f t="shared" si="35"/>
        <v>0</v>
      </c>
      <c r="I119" s="535">
        <f t="shared" si="35"/>
        <v>0</v>
      </c>
      <c r="J119" s="535">
        <f t="shared" si="35"/>
        <v>0</v>
      </c>
      <c r="K119" s="535">
        <f t="shared" si="35"/>
        <v>0</v>
      </c>
      <c r="L119" s="537">
        <f>SUM(D119:INDEX(D119:K119,0,MATCH('RFPR cover'!$C$7,$D$6:$K$6,0)))</f>
        <v>0</v>
      </c>
      <c r="M119" s="538">
        <f>SUM(D119:K119)</f>
        <v>0</v>
      </c>
      <c r="N119" s="46"/>
      <c r="O119" s="46"/>
    </row>
    <row r="120" spans="1:20">
      <c r="B120" s="628" t="s">
        <v>191</v>
      </c>
      <c r="C120" s="736" t="s">
        <v>125</v>
      </c>
      <c r="D120" s="85">
        <f>D119-D118</f>
        <v>0</v>
      </c>
      <c r="E120" s="86">
        <f t="shared" ref="E120:M120" si="36">E119-E118</f>
        <v>0</v>
      </c>
      <c r="F120" s="86">
        <f t="shared" si="36"/>
        <v>0</v>
      </c>
      <c r="G120" s="86">
        <f t="shared" si="36"/>
        <v>0</v>
      </c>
      <c r="H120" s="86">
        <f t="shared" si="36"/>
        <v>0</v>
      </c>
      <c r="I120" s="86">
        <f t="shared" si="36"/>
        <v>0</v>
      </c>
      <c r="J120" s="86">
        <f t="shared" si="36"/>
        <v>0</v>
      </c>
      <c r="K120" s="86">
        <f t="shared" si="36"/>
        <v>0</v>
      </c>
      <c r="L120" s="85">
        <f t="shared" si="36"/>
        <v>0</v>
      </c>
      <c r="M120" s="87">
        <f t="shared" si="36"/>
        <v>0</v>
      </c>
      <c r="N120" s="46"/>
      <c r="O120" s="980"/>
      <c r="P120" s="980"/>
      <c r="Q120" s="980"/>
      <c r="R120"/>
      <c r="S120"/>
      <c r="T120"/>
    </row>
    <row r="121" spans="1:20">
      <c r="B121" s="628"/>
      <c r="C121" s="736"/>
      <c r="D121" s="758"/>
      <c r="E121" s="758"/>
      <c r="F121" s="758"/>
      <c r="G121" s="758"/>
      <c r="H121" s="758"/>
      <c r="I121" s="758"/>
      <c r="J121" s="758"/>
      <c r="K121" s="758"/>
      <c r="L121" s="758"/>
      <c r="M121" s="758"/>
      <c r="O121" s="47"/>
      <c r="P121" s="47"/>
      <c r="Q121" s="47"/>
      <c r="R121"/>
      <c r="S121"/>
      <c r="T121"/>
    </row>
    <row r="122" spans="1:20">
      <c r="B122" s="106" t="s">
        <v>174</v>
      </c>
      <c r="C122" s="109" t="s">
        <v>7</v>
      </c>
      <c r="D122" s="92">
        <f>1-INDEX(Data!$D$73:$D$100,MATCH('RFPR cover'!$C$5,Data!$B$73:$B$100,0),0)</f>
        <v>0.46499999999999997</v>
      </c>
      <c r="E122" s="93">
        <f>1-INDEX(Data!$D$73:$D$100,MATCH('RFPR cover'!$C$5,Data!$B$73:$B$100,0),0)</f>
        <v>0.46499999999999997</v>
      </c>
      <c r="F122" s="93">
        <f>1-INDEX(Data!$D$73:$D$100,MATCH('RFPR cover'!$C$5,Data!$B$73:$B$100,0),0)</f>
        <v>0.46499999999999997</v>
      </c>
      <c r="G122" s="93">
        <f>1-INDEX(Data!$D$73:$D$100,MATCH('RFPR cover'!$C$5,Data!$B$73:$B$100,0),0)</f>
        <v>0.46499999999999997</v>
      </c>
      <c r="H122" s="93">
        <f>1-INDEX(Data!$D$73:$D$100,MATCH('RFPR cover'!$C$5,Data!$B$73:$B$100,0),0)</f>
        <v>0.46499999999999997</v>
      </c>
      <c r="I122" s="93">
        <f>1-INDEX(Data!$D$73:$D$100,MATCH('RFPR cover'!$C$5,Data!$B$73:$B$100,0),0)</f>
        <v>0.46499999999999997</v>
      </c>
      <c r="J122" s="93">
        <f>1-INDEX(Data!$D$73:$D$100,MATCH('RFPR cover'!$C$5,Data!$B$73:$B$100,0),0)</f>
        <v>0.46499999999999997</v>
      </c>
      <c r="K122" s="94">
        <f>1-INDEX(Data!$D$73:$D$100,MATCH('RFPR cover'!$C$5,Data!$B$73:$B$100,0),0)</f>
        <v>0.46499999999999997</v>
      </c>
      <c r="L122" s="45"/>
      <c r="M122" s="45"/>
      <c r="O122"/>
      <c r="P122"/>
      <c r="Q122"/>
      <c r="R122"/>
      <c r="S122"/>
      <c r="T122"/>
    </row>
    <row r="123" spans="1:20">
      <c r="O123"/>
      <c r="P123"/>
      <c r="Q123"/>
      <c r="R123"/>
      <c r="S123"/>
      <c r="T123"/>
    </row>
    <row r="124" spans="1:20">
      <c r="B124" s="106" t="s">
        <v>179</v>
      </c>
      <c r="C124" s="736" t="s">
        <v>125</v>
      </c>
      <c r="D124" s="78">
        <f>D120*D122</f>
        <v>0</v>
      </c>
      <c r="E124" s="79">
        <f t="shared" ref="E124:K124" si="37">E120*E122</f>
        <v>0</v>
      </c>
      <c r="F124" s="79">
        <f t="shared" si="37"/>
        <v>0</v>
      </c>
      <c r="G124" s="79">
        <f t="shared" si="37"/>
        <v>0</v>
      </c>
      <c r="H124" s="79">
        <f t="shared" si="37"/>
        <v>0</v>
      </c>
      <c r="I124" s="79">
        <f t="shared" si="37"/>
        <v>0</v>
      </c>
      <c r="J124" s="79">
        <f t="shared" si="37"/>
        <v>0</v>
      </c>
      <c r="K124" s="79">
        <f t="shared" si="37"/>
        <v>0</v>
      </c>
      <c r="L124" s="78">
        <f>SUM(D124:INDEX(D124:K124,0,MATCH('RFPR cover'!$C$7,$D$6:$K$6,0)))</f>
        <v>0</v>
      </c>
      <c r="M124" s="80">
        <f>SUM(D124:K124)</f>
        <v>0</v>
      </c>
      <c r="O124"/>
      <c r="P124"/>
      <c r="Q124"/>
      <c r="R124"/>
      <c r="S124"/>
      <c r="T124"/>
    </row>
    <row r="125" spans="1:20">
      <c r="B125" s="106" t="s">
        <v>175</v>
      </c>
      <c r="C125" s="736" t="s">
        <v>125</v>
      </c>
      <c r="D125" s="75">
        <f>D120*(1-D122)</f>
        <v>0</v>
      </c>
      <c r="E125" s="76">
        <f t="shared" ref="E125:K125" si="38">E120*(1-E122)</f>
        <v>0</v>
      </c>
      <c r="F125" s="76">
        <f t="shared" si="38"/>
        <v>0</v>
      </c>
      <c r="G125" s="76">
        <f t="shared" si="38"/>
        <v>0</v>
      </c>
      <c r="H125" s="76">
        <f t="shared" si="38"/>
        <v>0</v>
      </c>
      <c r="I125" s="76">
        <f t="shared" si="38"/>
        <v>0</v>
      </c>
      <c r="J125" s="76">
        <f t="shared" si="38"/>
        <v>0</v>
      </c>
      <c r="K125" s="76">
        <f t="shared" si="38"/>
        <v>0</v>
      </c>
      <c r="L125" s="75">
        <f>SUM(D125:INDEX(D125:K125,0,MATCH('RFPR cover'!$C$7,$D$6:$K$6,0)))</f>
        <v>0</v>
      </c>
      <c r="M125" s="77">
        <f>SUM(D125:K125)</f>
        <v>0</v>
      </c>
      <c r="O125"/>
      <c r="P125"/>
      <c r="Q125"/>
      <c r="R125"/>
      <c r="S125"/>
      <c r="T125"/>
    </row>
    <row r="126" spans="1:20">
      <c r="O126"/>
      <c r="P126"/>
      <c r="Q126"/>
      <c r="R126"/>
      <c r="S126"/>
      <c r="T126"/>
    </row>
    <row r="127" spans="1:20">
      <c r="B127" s="319" t="s">
        <v>178</v>
      </c>
      <c r="N127" s="46"/>
      <c r="O127"/>
      <c r="P127"/>
      <c r="Q127"/>
      <c r="R127"/>
      <c r="S127"/>
      <c r="T127"/>
    </row>
    <row r="128" spans="1:20">
      <c r="A128" s="3" t="s">
        <v>148</v>
      </c>
      <c r="B128" s="106" t="str">
        <f t="shared" ref="B128:B133" si="39">B50</f>
        <v>[Enduring Value adjustment]</v>
      </c>
      <c r="C128" s="736" t="s">
        <v>125</v>
      </c>
      <c r="D128" s="482">
        <f t="shared" ref="D128:K133" si="40">D50*D$86</f>
        <v>0</v>
      </c>
      <c r="E128" s="482">
        <f t="shared" si="40"/>
        <v>0</v>
      </c>
      <c r="F128" s="482">
        <f t="shared" si="40"/>
        <v>0</v>
      </c>
      <c r="G128" s="482">
        <f t="shared" si="40"/>
        <v>0</v>
      </c>
      <c r="H128" s="482">
        <f t="shared" si="40"/>
        <v>0</v>
      </c>
      <c r="I128" s="482">
        <f t="shared" si="40"/>
        <v>0</v>
      </c>
      <c r="J128" s="482">
        <f t="shared" si="40"/>
        <v>0</v>
      </c>
      <c r="K128" s="482">
        <f t="shared" si="40"/>
        <v>0</v>
      </c>
      <c r="L128" s="482">
        <f>SUM(D128:INDEX(D128:K128,0,MATCH('RFPR cover'!$C$7,$D$6:$K$6,0)))</f>
        <v>0</v>
      </c>
      <c r="M128" s="483">
        <f t="shared" ref="M128:M134" si="41">SUM(D128:K128)</f>
        <v>0</v>
      </c>
      <c r="N128" s="46"/>
      <c r="O128"/>
      <c r="P128"/>
      <c r="Q128"/>
      <c r="R128"/>
      <c r="S128"/>
      <c r="T128"/>
    </row>
    <row r="129" spans="1:20">
      <c r="A129" s="3" t="s">
        <v>149</v>
      </c>
      <c r="B129" s="106" t="str">
        <f t="shared" si="39"/>
        <v>[Enduring Value adjustment]</v>
      </c>
      <c r="C129" s="736" t="s">
        <v>125</v>
      </c>
      <c r="D129" s="482">
        <f t="shared" si="40"/>
        <v>0</v>
      </c>
      <c r="E129" s="482">
        <f t="shared" si="40"/>
        <v>0</v>
      </c>
      <c r="F129" s="482">
        <f t="shared" si="40"/>
        <v>0</v>
      </c>
      <c r="G129" s="482">
        <f t="shared" si="40"/>
        <v>0</v>
      </c>
      <c r="H129" s="482">
        <f t="shared" si="40"/>
        <v>0</v>
      </c>
      <c r="I129" s="482">
        <f t="shared" si="40"/>
        <v>0</v>
      </c>
      <c r="J129" s="482">
        <f t="shared" si="40"/>
        <v>0</v>
      </c>
      <c r="K129" s="482">
        <f t="shared" si="40"/>
        <v>0</v>
      </c>
      <c r="L129" s="486">
        <f>SUM(D129:INDEX(D129:K129,0,MATCH('RFPR cover'!$C$7,$D$6:$K$6,0)))</f>
        <v>0</v>
      </c>
      <c r="M129" s="487">
        <f t="shared" si="41"/>
        <v>0</v>
      </c>
      <c r="N129" s="46"/>
      <c r="O129"/>
      <c r="P129"/>
      <c r="Q129"/>
      <c r="R129"/>
      <c r="S129"/>
      <c r="T129"/>
    </row>
    <row r="130" spans="1:20">
      <c r="A130" s="3" t="s">
        <v>150</v>
      </c>
      <c r="B130" s="106" t="str">
        <f t="shared" si="39"/>
        <v>[Enduring Value adjustment]</v>
      </c>
      <c r="C130" s="736" t="s">
        <v>125</v>
      </c>
      <c r="D130" s="482">
        <f t="shared" si="40"/>
        <v>0</v>
      </c>
      <c r="E130" s="482">
        <f t="shared" si="40"/>
        <v>0</v>
      </c>
      <c r="F130" s="482">
        <f t="shared" si="40"/>
        <v>0</v>
      </c>
      <c r="G130" s="482">
        <f t="shared" si="40"/>
        <v>0</v>
      </c>
      <c r="H130" s="482">
        <f t="shared" si="40"/>
        <v>0</v>
      </c>
      <c r="I130" s="482">
        <f t="shared" si="40"/>
        <v>0</v>
      </c>
      <c r="J130" s="482">
        <f t="shared" si="40"/>
        <v>0</v>
      </c>
      <c r="K130" s="482">
        <f t="shared" si="40"/>
        <v>0</v>
      </c>
      <c r="L130" s="486">
        <f>SUM(D130:INDEX(D130:K130,0,MATCH('RFPR cover'!$C$7,$D$6:$K$6,0)))</f>
        <v>0</v>
      </c>
      <c r="M130" s="487">
        <f t="shared" si="41"/>
        <v>0</v>
      </c>
      <c r="N130" s="46"/>
      <c r="O130"/>
      <c r="P130"/>
      <c r="Q130"/>
      <c r="R130"/>
      <c r="S130" s="48"/>
      <c r="T130"/>
    </row>
    <row r="131" spans="1:20">
      <c r="A131" s="3" t="s">
        <v>164</v>
      </c>
      <c r="B131" s="106" t="str">
        <f t="shared" si="39"/>
        <v>[Enduring Value adjustment]</v>
      </c>
      <c r="C131" s="736" t="s">
        <v>125</v>
      </c>
      <c r="D131" s="482">
        <f t="shared" si="40"/>
        <v>0</v>
      </c>
      <c r="E131" s="482">
        <f t="shared" si="40"/>
        <v>0</v>
      </c>
      <c r="F131" s="482">
        <f t="shared" si="40"/>
        <v>0</v>
      </c>
      <c r="G131" s="482">
        <f t="shared" si="40"/>
        <v>0</v>
      </c>
      <c r="H131" s="482">
        <f t="shared" si="40"/>
        <v>0</v>
      </c>
      <c r="I131" s="482">
        <f t="shared" si="40"/>
        <v>0</v>
      </c>
      <c r="J131" s="482">
        <f t="shared" si="40"/>
        <v>0</v>
      </c>
      <c r="K131" s="482">
        <f t="shared" si="40"/>
        <v>0</v>
      </c>
      <c r="L131" s="486">
        <f>SUM(D131:INDEX(D131:K131,0,MATCH('RFPR cover'!$C$7,$D$6:$K$6,0)))</f>
        <v>0</v>
      </c>
      <c r="M131" s="487">
        <f t="shared" si="41"/>
        <v>0</v>
      </c>
      <c r="N131" s="46"/>
      <c r="O131"/>
      <c r="P131"/>
      <c r="Q131"/>
      <c r="R131"/>
      <c r="S131"/>
      <c r="T131"/>
    </row>
    <row r="132" spans="1:20">
      <c r="A132" s="3" t="s">
        <v>165</v>
      </c>
      <c r="B132" s="106" t="str">
        <f t="shared" si="39"/>
        <v>[Enduring Value adjustment]</v>
      </c>
      <c r="C132" s="736" t="s">
        <v>125</v>
      </c>
      <c r="D132" s="482">
        <f t="shared" si="40"/>
        <v>0</v>
      </c>
      <c r="E132" s="482">
        <f t="shared" si="40"/>
        <v>0</v>
      </c>
      <c r="F132" s="482">
        <f t="shared" si="40"/>
        <v>0</v>
      </c>
      <c r="G132" s="482">
        <f t="shared" si="40"/>
        <v>0</v>
      </c>
      <c r="H132" s="482">
        <f t="shared" si="40"/>
        <v>0</v>
      </c>
      <c r="I132" s="482">
        <f t="shared" si="40"/>
        <v>0</v>
      </c>
      <c r="J132" s="482">
        <f t="shared" si="40"/>
        <v>0</v>
      </c>
      <c r="K132" s="482">
        <f t="shared" si="40"/>
        <v>0</v>
      </c>
      <c r="L132" s="486">
        <f>SUM(D132:INDEX(D132:K132,0,MATCH('RFPR cover'!$C$7,$D$6:$K$6,0)))</f>
        <v>0</v>
      </c>
      <c r="M132" s="487">
        <f t="shared" si="41"/>
        <v>0</v>
      </c>
      <c r="N132" s="46"/>
      <c r="O132"/>
      <c r="P132"/>
      <c r="Q132"/>
      <c r="R132"/>
      <c r="S132"/>
      <c r="T132"/>
    </row>
    <row r="133" spans="1:20">
      <c r="A133" s="3" t="s">
        <v>166</v>
      </c>
      <c r="B133" s="106" t="str">
        <f t="shared" si="39"/>
        <v>[Enduring Value adjustment]</v>
      </c>
      <c r="C133" s="736" t="s">
        <v>125</v>
      </c>
      <c r="D133" s="482">
        <f t="shared" si="40"/>
        <v>0</v>
      </c>
      <c r="E133" s="482">
        <f t="shared" si="40"/>
        <v>0</v>
      </c>
      <c r="F133" s="482">
        <f t="shared" si="40"/>
        <v>0</v>
      </c>
      <c r="G133" s="482">
        <f t="shared" si="40"/>
        <v>0</v>
      </c>
      <c r="H133" s="482">
        <f t="shared" si="40"/>
        <v>0</v>
      </c>
      <c r="I133" s="482">
        <f t="shared" si="40"/>
        <v>0</v>
      </c>
      <c r="J133" s="482">
        <f t="shared" si="40"/>
        <v>0</v>
      </c>
      <c r="K133" s="482">
        <f t="shared" si="40"/>
        <v>0</v>
      </c>
      <c r="L133" s="490">
        <f>SUM(D133:INDEX(D133:K133,0,MATCH('RFPR cover'!$C$7,$D$6:$K$6,0)))</f>
        <v>0</v>
      </c>
      <c r="M133" s="491">
        <f t="shared" si="41"/>
        <v>0</v>
      </c>
      <c r="N133" s="46"/>
      <c r="O133"/>
      <c r="P133"/>
      <c r="Q133"/>
      <c r="R133"/>
      <c r="S133"/>
      <c r="T133"/>
    </row>
    <row r="134" spans="1:20">
      <c r="B134" s="319" t="s">
        <v>186</v>
      </c>
      <c r="C134" s="736" t="s">
        <v>125</v>
      </c>
      <c r="D134" s="85">
        <f>SUM(D128:D133)</f>
        <v>0</v>
      </c>
      <c r="E134" s="86">
        <f t="shared" ref="E134:K134" si="42">SUM(E128:E133)</f>
        <v>0</v>
      </c>
      <c r="F134" s="86">
        <f t="shared" si="42"/>
        <v>0</v>
      </c>
      <c r="G134" s="86">
        <f t="shared" si="42"/>
        <v>0</v>
      </c>
      <c r="H134" s="86">
        <f t="shared" si="42"/>
        <v>0</v>
      </c>
      <c r="I134" s="86">
        <f t="shared" si="42"/>
        <v>0</v>
      </c>
      <c r="J134" s="86">
        <f t="shared" si="42"/>
        <v>0</v>
      </c>
      <c r="K134" s="86">
        <f t="shared" si="42"/>
        <v>0</v>
      </c>
      <c r="L134" s="85">
        <f>SUM(D134:INDEX(D134:K134,0,MATCH('RFPR cover'!$C$7,$D$6:$K$6,0)))</f>
        <v>0</v>
      </c>
      <c r="M134" s="87">
        <f t="shared" si="41"/>
        <v>0</v>
      </c>
      <c r="N134" s="46"/>
    </row>
    <row r="136" spans="1:20">
      <c r="B136" s="106" t="s">
        <v>194</v>
      </c>
      <c r="C136" s="736" t="s">
        <v>125</v>
      </c>
      <c r="D136" s="78">
        <f t="shared" ref="D136:K136" si="43">D134*D122</f>
        <v>0</v>
      </c>
      <c r="E136" s="79">
        <f t="shared" si="43"/>
        <v>0</v>
      </c>
      <c r="F136" s="79">
        <f t="shared" si="43"/>
        <v>0</v>
      </c>
      <c r="G136" s="79">
        <f t="shared" si="43"/>
        <v>0</v>
      </c>
      <c r="H136" s="79">
        <f t="shared" si="43"/>
        <v>0</v>
      </c>
      <c r="I136" s="79">
        <f t="shared" si="43"/>
        <v>0</v>
      </c>
      <c r="J136" s="79">
        <f t="shared" si="43"/>
        <v>0</v>
      </c>
      <c r="K136" s="79">
        <f t="shared" si="43"/>
        <v>0</v>
      </c>
      <c r="L136" s="78">
        <f>SUM(D136:INDEX(D136:K136,0,MATCH('RFPR cover'!$C$7,$D$6:$K$6,0)))</f>
        <v>0</v>
      </c>
      <c r="M136" s="80">
        <f>SUM(D136:K136)</f>
        <v>0</v>
      </c>
    </row>
    <row r="137" spans="1:20">
      <c r="B137" s="106" t="s">
        <v>303</v>
      </c>
      <c r="C137" s="736" t="s">
        <v>125</v>
      </c>
      <c r="D137" s="75">
        <f t="shared" ref="D137:K137" si="44">D134*(1-D122)</f>
        <v>0</v>
      </c>
      <c r="E137" s="76">
        <f t="shared" si="44"/>
        <v>0</v>
      </c>
      <c r="F137" s="76">
        <f t="shared" si="44"/>
        <v>0</v>
      </c>
      <c r="G137" s="76">
        <f t="shared" si="44"/>
        <v>0</v>
      </c>
      <c r="H137" s="76">
        <f t="shared" si="44"/>
        <v>0</v>
      </c>
      <c r="I137" s="76">
        <f t="shared" si="44"/>
        <v>0</v>
      </c>
      <c r="J137" s="76">
        <f t="shared" si="44"/>
        <v>0</v>
      </c>
      <c r="K137" s="76">
        <f t="shared" si="44"/>
        <v>0</v>
      </c>
      <c r="L137" s="75">
        <f>SUM(D137:INDEX(D137:K137,0,MATCH('RFPR cover'!$C$7,$D$6:$K$6,0)))</f>
        <v>0</v>
      </c>
      <c r="M137" s="77">
        <f>SUM(D137:K137)</f>
        <v>0</v>
      </c>
    </row>
    <row r="139" spans="1:20">
      <c r="B139" s="319" t="s">
        <v>177</v>
      </c>
    </row>
    <row r="140" spans="1:20">
      <c r="B140" s="106" t="s">
        <v>176</v>
      </c>
      <c r="C140" s="736" t="s">
        <v>125</v>
      </c>
      <c r="D140" s="78">
        <f>D124+D136</f>
        <v>0</v>
      </c>
      <c r="E140" s="79">
        <f t="shared" ref="E140:K141" si="45">E124+E136</f>
        <v>0</v>
      </c>
      <c r="F140" s="79">
        <f t="shared" si="45"/>
        <v>0</v>
      </c>
      <c r="G140" s="79">
        <f t="shared" si="45"/>
        <v>0</v>
      </c>
      <c r="H140" s="79">
        <f t="shared" si="45"/>
        <v>0</v>
      </c>
      <c r="I140" s="79">
        <f t="shared" si="45"/>
        <v>0</v>
      </c>
      <c r="J140" s="79">
        <f t="shared" si="45"/>
        <v>0</v>
      </c>
      <c r="K140" s="79">
        <f t="shared" si="45"/>
        <v>0</v>
      </c>
      <c r="L140" s="78">
        <f>SUM(D140:INDEX(D140:K140,0,MATCH('RFPR cover'!$C$7,$D$6:$K$6,0)))</f>
        <v>0</v>
      </c>
      <c r="M140" s="80">
        <f>SUM(D140:K140)</f>
        <v>0</v>
      </c>
    </row>
    <row r="141" spans="1:20">
      <c r="B141" s="106" t="s">
        <v>274</v>
      </c>
      <c r="C141" s="736" t="s">
        <v>125</v>
      </c>
      <c r="D141" s="81">
        <f>D125+D137</f>
        <v>0</v>
      </c>
      <c r="E141" s="82">
        <f t="shared" si="45"/>
        <v>0</v>
      </c>
      <c r="F141" s="82">
        <f t="shared" si="45"/>
        <v>0</v>
      </c>
      <c r="G141" s="82">
        <f t="shared" si="45"/>
        <v>0</v>
      </c>
      <c r="H141" s="82">
        <f t="shared" si="45"/>
        <v>0</v>
      </c>
      <c r="I141" s="82">
        <f t="shared" si="45"/>
        <v>0</v>
      </c>
      <c r="J141" s="82">
        <f t="shared" si="45"/>
        <v>0</v>
      </c>
      <c r="K141" s="82">
        <f t="shared" si="45"/>
        <v>0</v>
      </c>
      <c r="L141" s="81">
        <f>SUM(D141:INDEX(D141:K141,0,MATCH('RFPR cover'!$C$7,$D$6:$K$6,0)))</f>
        <v>0</v>
      </c>
      <c r="M141" s="83">
        <f>SUM(D141:K141)</f>
        <v>0</v>
      </c>
    </row>
    <row r="142" spans="1:20">
      <c r="B142" s="319" t="s">
        <v>11</v>
      </c>
      <c r="C142" s="745" t="s">
        <v>125</v>
      </c>
      <c r="D142" s="110">
        <f>SUM(D140:D141)</f>
        <v>0</v>
      </c>
      <c r="E142" s="111">
        <f t="shared" ref="E142:K142" si="46">SUM(E140:E141)</f>
        <v>0</v>
      </c>
      <c r="F142" s="111">
        <f t="shared" si="46"/>
        <v>0</v>
      </c>
      <c r="G142" s="111">
        <f t="shared" si="46"/>
        <v>0</v>
      </c>
      <c r="H142" s="111">
        <f t="shared" si="46"/>
        <v>0</v>
      </c>
      <c r="I142" s="111">
        <f t="shared" si="46"/>
        <v>0</v>
      </c>
      <c r="J142" s="111">
        <f t="shared" si="46"/>
        <v>0</v>
      </c>
      <c r="K142" s="111">
        <f t="shared" si="46"/>
        <v>0</v>
      </c>
      <c r="L142" s="110">
        <f>SUM(D142:INDEX(D142:K142,0,MATCH('RFPR cover'!$C$7,$D$6:$K$6,0)))</f>
        <v>0</v>
      </c>
      <c r="M142" s="112">
        <f>SUM(D142:K142)</f>
        <v>0</v>
      </c>
    </row>
    <row r="143" spans="1:20">
      <c r="B143" s="319"/>
      <c r="C143" s="745"/>
      <c r="D143" s="745"/>
      <c r="E143" s="745"/>
      <c r="F143" s="745"/>
      <c r="G143" s="745"/>
      <c r="H143" s="745"/>
      <c r="I143" s="745"/>
      <c r="J143" s="745"/>
      <c r="K143" s="745"/>
      <c r="L143" s="745"/>
      <c r="M143" s="745"/>
    </row>
    <row r="144" spans="1:20">
      <c r="B144" s="592" t="s">
        <v>252</v>
      </c>
      <c r="C144" s="119"/>
      <c r="D144" s="64"/>
      <c r="E144" s="64"/>
      <c r="F144" s="64"/>
      <c r="G144" s="64"/>
      <c r="H144" s="64"/>
      <c r="I144" s="64"/>
      <c r="J144" s="64"/>
      <c r="K144" s="64"/>
      <c r="L144" s="64"/>
      <c r="M144" s="64"/>
      <c r="N144" s="64"/>
    </row>
    <row r="145" spans="1:20">
      <c r="O145"/>
      <c r="P145"/>
      <c r="Q145"/>
      <c r="R145"/>
      <c r="S145"/>
      <c r="T145"/>
    </row>
    <row r="146" spans="1:20">
      <c r="B146" s="319" t="s">
        <v>177</v>
      </c>
    </row>
    <row r="147" spans="1:20">
      <c r="B147" s="106" t="s">
        <v>176</v>
      </c>
      <c r="C147" s="736" t="s">
        <v>125</v>
      </c>
      <c r="D147" s="78">
        <f>D112+D140</f>
        <v>0.58763463992802123</v>
      </c>
      <c r="E147" s="79">
        <f t="shared" ref="E147:K147" si="47">E112+E140</f>
        <v>0.34648604011617756</v>
      </c>
      <c r="F147" s="79">
        <f t="shared" si="47"/>
        <v>0.37405915693419267</v>
      </c>
      <c r="G147" s="79">
        <f t="shared" si="47"/>
        <v>0.6114517311032408</v>
      </c>
      <c r="H147" s="79">
        <f t="shared" si="47"/>
        <v>-13.282776516571147</v>
      </c>
      <c r="I147" s="79">
        <f t="shared" si="47"/>
        <v>-13.426583492138491</v>
      </c>
      <c r="J147" s="79">
        <f t="shared" si="47"/>
        <v>-7.1128992133302464</v>
      </c>
      <c r="K147" s="79">
        <f t="shared" si="47"/>
        <v>-23.98712158465726</v>
      </c>
      <c r="L147" s="78">
        <f>SUM(D147:INDEX(D147:K147,0,MATCH('RFPR cover'!$C$7,$D$6:$K$6,0)))</f>
        <v>-31.902627653958248</v>
      </c>
      <c r="M147" s="80">
        <f>SUM(D147:K147)</f>
        <v>-55.889749238615508</v>
      </c>
    </row>
    <row r="148" spans="1:20">
      <c r="B148" s="106" t="s">
        <v>274</v>
      </c>
      <c r="C148" s="736" t="s">
        <v>125</v>
      </c>
      <c r="D148" s="81">
        <f t="shared" ref="D148:K148" si="48">D113+D141</f>
        <v>0.67609576851933717</v>
      </c>
      <c r="E148" s="82">
        <f t="shared" si="48"/>
        <v>0.39864522895087084</v>
      </c>
      <c r="F148" s="82">
        <f t="shared" si="48"/>
        <v>0.43036913754794348</v>
      </c>
      <c r="G148" s="82">
        <f t="shared" si="48"/>
        <v>0.70349822825857089</v>
      </c>
      <c r="H148" s="82">
        <f t="shared" si="48"/>
        <v>-15.2823342717539</v>
      </c>
      <c r="I148" s="82">
        <f t="shared" si="48"/>
        <v>-15.447789609234608</v>
      </c>
      <c r="J148" s="82">
        <f t="shared" si="48"/>
        <v>-8.183658234691789</v>
      </c>
      <c r="K148" s="82">
        <f t="shared" si="48"/>
        <v>-27.598086124283085</v>
      </c>
      <c r="L148" s="81">
        <f>SUM(D148:INDEX(D148:K148,0,MATCH('RFPR cover'!$C$7,$D$6:$K$6,0)))</f>
        <v>-36.705173752403574</v>
      </c>
      <c r="M148" s="83">
        <f>SUM(D148:K148)</f>
        <v>-64.303259876686667</v>
      </c>
    </row>
    <row r="149" spans="1:20">
      <c r="B149" s="319" t="s">
        <v>11</v>
      </c>
      <c r="C149" s="745" t="s">
        <v>125</v>
      </c>
      <c r="D149" s="110">
        <f>SUM(D147:D148)</f>
        <v>1.2637304084473584</v>
      </c>
      <c r="E149" s="111">
        <f t="shared" ref="E149:K149" si="49">SUM(E147:E148)</f>
        <v>0.74513126906704841</v>
      </c>
      <c r="F149" s="111">
        <f t="shared" si="49"/>
        <v>0.80442829448213615</v>
      </c>
      <c r="G149" s="111">
        <f t="shared" si="49"/>
        <v>1.3149499593618117</v>
      </c>
      <c r="H149" s="111">
        <f t="shared" si="49"/>
        <v>-28.565110788325047</v>
      </c>
      <c r="I149" s="111">
        <f t="shared" si="49"/>
        <v>-28.874373101373099</v>
      </c>
      <c r="J149" s="111">
        <f t="shared" si="49"/>
        <v>-15.296557448022035</v>
      </c>
      <c r="K149" s="111">
        <f t="shared" si="49"/>
        <v>-51.585207708940345</v>
      </c>
      <c r="L149" s="110">
        <f>SUM(D149:INDEX(D149:K149,0,MATCH('RFPR cover'!$C$7,$D$6:$K$6,0)))</f>
        <v>-68.60780140636183</v>
      </c>
      <c r="M149" s="112">
        <f>SUM(D149:K149)</f>
        <v>-120.19300911530217</v>
      </c>
    </row>
    <row r="150" spans="1:20">
      <c r="D150" s="109"/>
      <c r="E150" s="109"/>
      <c r="F150" s="109"/>
      <c r="G150" s="109"/>
      <c r="H150" s="109"/>
      <c r="I150" s="109"/>
      <c r="J150" s="109"/>
      <c r="K150" s="109"/>
    </row>
    <row r="152" spans="1:20">
      <c r="A152" s="64"/>
      <c r="B152" s="595"/>
      <c r="C152" s="119"/>
      <c r="D152" s="64"/>
      <c r="E152" s="64"/>
      <c r="F152" s="64"/>
      <c r="G152" s="64"/>
      <c r="H152" s="64"/>
      <c r="I152" s="64"/>
      <c r="J152" s="64"/>
      <c r="K152" s="64"/>
      <c r="L152" s="64"/>
      <c r="M152" s="64"/>
      <c r="N152" s="64"/>
    </row>
  </sheetData>
  <mergeCells count="4">
    <mergeCell ref="O14:Q14"/>
    <mergeCell ref="O42:Q42"/>
    <mergeCell ref="O92:Q92"/>
    <mergeCell ref="O120:Q120"/>
  </mergeCells>
  <conditionalFormatting sqref="D6:K6">
    <cfRule type="expression" dxfId="76" priority="5">
      <formula>AND(D$5="Actuals",E$5="Forecast")</formula>
    </cfRule>
  </conditionalFormatting>
  <conditionalFormatting sqref="B118:M142">
    <cfRule type="expression" dxfId="75" priority="4">
      <formula>$B$38="n/a"</formula>
    </cfRule>
  </conditionalFormatting>
  <conditionalFormatting sqref="D5:K5">
    <cfRule type="expression" dxfId="74" priority="3">
      <formula>AND(D$5="Actuals",E$5="Forecast")</formula>
    </cfRule>
  </conditionalFormatting>
  <conditionalFormatting sqref="B38:C64">
    <cfRule type="expression" dxfId="73" priority="2">
      <formula>$B$38="n/a"</formula>
    </cfRule>
  </conditionalFormatting>
  <conditionalFormatting sqref="D38:N64">
    <cfRule type="expression" dxfId="0" priority="1">
      <formula>$B$38="n/a"</formula>
    </cfRule>
  </conditionalFormatting>
  <pageMargins left="0.70866141732283472" right="0.70866141732283472" top="0.74803149606299213" bottom="0.74803149606299213" header="0.31496062992125984" footer="0.31496062992125984"/>
  <pageSetup paperSize="8" scale="32" orientation="landscape" r:id="rId1"/>
  <headerFooter>
    <oddFooter>&amp;C&amp;1#&amp;"Calibri"&amp;12&amp;K008000Internal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N114"/>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1.375" bestFit="1" customWidth="1"/>
    <col min="3" max="3" width="13.375" style="109" customWidth="1"/>
    <col min="4" max="11" width="11.125" customWidth="1"/>
    <col min="12" max="12" width="12.875" customWidth="1"/>
    <col min="13" max="13" width="12.75" customWidth="1"/>
    <col min="14" max="14" width="5" customWidth="1"/>
  </cols>
  <sheetData>
    <row r="1" spans="1:14" ht="20.25">
      <c r="A1" s="780" t="s">
        <v>257</v>
      </c>
      <c r="B1" s="781"/>
      <c r="C1" s="782"/>
      <c r="D1" s="783"/>
      <c r="E1" s="783"/>
      <c r="F1" s="783"/>
      <c r="G1" s="783"/>
      <c r="H1" s="783"/>
      <c r="I1" s="700"/>
      <c r="J1" s="700"/>
      <c r="K1" s="700"/>
      <c r="L1" s="700"/>
      <c r="M1" s="700"/>
      <c r="N1" s="701"/>
    </row>
    <row r="2" spans="1:14" ht="20.25">
      <c r="A2" s="688" t="str">
        <f>'RFPR cover'!C5</f>
        <v>SPMW</v>
      </c>
      <c r="B2" s="784"/>
      <c r="C2" s="785"/>
      <c r="D2" s="786"/>
      <c r="E2" s="786"/>
      <c r="F2" s="786"/>
      <c r="G2" s="786"/>
      <c r="H2" s="786"/>
      <c r="I2" s="704"/>
      <c r="J2" s="704"/>
      <c r="K2" s="704"/>
      <c r="L2" s="704"/>
      <c r="M2" s="704"/>
      <c r="N2" s="705"/>
    </row>
    <row r="3" spans="1:14" ht="20.25">
      <c r="A3" s="787">
        <f>'RFPR cover'!C7</f>
        <v>2022</v>
      </c>
      <c r="B3" s="788"/>
      <c r="C3" s="222"/>
      <c r="D3" s="221"/>
      <c r="E3" s="221"/>
      <c r="F3" s="221"/>
      <c r="G3" s="221"/>
      <c r="H3" s="221"/>
      <c r="I3" s="707"/>
      <c r="J3" s="707"/>
      <c r="K3" s="707"/>
      <c r="L3" s="707"/>
      <c r="M3" s="707"/>
      <c r="N3" s="708"/>
    </row>
    <row r="4" spans="1:14" s="2" customFormat="1" ht="12.75" customHeight="1">
      <c r="B4" s="3"/>
      <c r="C4" s="109"/>
    </row>
    <row r="5" spans="1:14" s="2" customFormat="1" ht="12.75" customHeight="1">
      <c r="B5" s="3"/>
      <c r="C5" s="109"/>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row>
    <row r="6" spans="1:14" s="2" customFormat="1" ht="29.25" customHeight="1">
      <c r="C6" s="109"/>
      <c r="D6" s="99">
        <f>'RFPR cover'!$C$13</f>
        <v>2016</v>
      </c>
      <c r="E6" s="100">
        <f>D6+1</f>
        <v>2017</v>
      </c>
      <c r="F6" s="100">
        <f t="shared" ref="F6:K6" si="0">E6+1</f>
        <v>2018</v>
      </c>
      <c r="G6" s="100">
        <f t="shared" si="0"/>
        <v>2019</v>
      </c>
      <c r="H6" s="100">
        <f t="shared" si="0"/>
        <v>2020</v>
      </c>
      <c r="I6" s="100">
        <f t="shared" si="0"/>
        <v>2021</v>
      </c>
      <c r="J6" s="100">
        <f t="shared" si="0"/>
        <v>2022</v>
      </c>
      <c r="K6" s="100">
        <f t="shared" si="0"/>
        <v>2023</v>
      </c>
      <c r="L6" s="84" t="str">
        <f>"Cumulative to "&amp;'RFPR cover'!$C$7</f>
        <v>Cumulative to 2022</v>
      </c>
      <c r="M6" s="101" t="s">
        <v>106</v>
      </c>
    </row>
    <row r="7" spans="1:14" s="2" customFormat="1">
      <c r="C7" s="109"/>
    </row>
    <row r="8" spans="1:14" s="2" customFormat="1">
      <c r="B8" s="98" t="s">
        <v>195</v>
      </c>
      <c r="C8" s="119"/>
      <c r="D8" s="63"/>
      <c r="E8" s="63"/>
      <c r="F8" s="63"/>
      <c r="G8" s="63"/>
      <c r="H8" s="63"/>
      <c r="I8" s="63"/>
      <c r="J8" s="63"/>
      <c r="K8" s="63"/>
      <c r="L8" s="63"/>
      <c r="M8" s="63"/>
      <c r="N8" s="63"/>
    </row>
    <row r="9" spans="1:14" s="2" customFormat="1">
      <c r="B9" s="300" t="s">
        <v>384</v>
      </c>
      <c r="C9" s="300"/>
      <c r="D9" s="300"/>
      <c r="E9" s="300"/>
      <c r="F9" s="300"/>
      <c r="G9" s="300"/>
      <c r="H9" s="300"/>
      <c r="I9" s="300"/>
      <c r="J9" s="300"/>
      <c r="K9" s="300"/>
      <c r="L9" s="300"/>
      <c r="M9" s="300"/>
      <c r="N9" s="300"/>
    </row>
    <row r="10" spans="1:14" s="2" customFormat="1">
      <c r="B10" s="12"/>
      <c r="C10" s="109"/>
    </row>
    <row r="11" spans="1:14" s="2" customFormat="1">
      <c r="A11" s="123" t="s">
        <v>148</v>
      </c>
      <c r="B11" s="2" t="str">
        <f>Data!B153</f>
        <v>Broad measure of customer service</v>
      </c>
      <c r="C11" s="737" t="str">
        <f>'RFPR cover'!$C$14</f>
        <v>£m 12/13</v>
      </c>
      <c r="D11" s="492">
        <v>3.0993000000000008</v>
      </c>
      <c r="E11" s="493">
        <v>3.2756699999999999</v>
      </c>
      <c r="F11" s="493">
        <v>2.8980300000000043</v>
      </c>
      <c r="G11" s="493">
        <v>4.2395250000000022</v>
      </c>
      <c r="H11" s="493">
        <v>4.3690000000000007</v>
      </c>
      <c r="I11" s="493">
        <v>4.4450000000000003</v>
      </c>
      <c r="J11" s="493">
        <v>2.9776650194666887</v>
      </c>
      <c r="K11" s="499">
        <v>3.4</v>
      </c>
      <c r="L11" s="535">
        <f>SUM(D11:INDEX(D11:K11,0,MATCH('RFPR cover'!$C$7,$D$6:$K$6,0)))</f>
        <v>25.304190019466695</v>
      </c>
      <c r="M11" s="536">
        <f t="shared" ref="M11:M17" si="1">SUM(D11:K11)</f>
        <v>28.704190019466694</v>
      </c>
    </row>
    <row r="12" spans="1:14" s="2" customFormat="1">
      <c r="A12" s="123" t="s">
        <v>149</v>
      </c>
      <c r="B12" s="2" t="str">
        <f>Data!B154</f>
        <v>Interruptions-related quality of service</v>
      </c>
      <c r="C12" s="737" t="str">
        <f>'RFPR cover'!$C$14</f>
        <v>£m 12/13</v>
      </c>
      <c r="D12" s="494">
        <v>5.763081970833337</v>
      </c>
      <c r="E12" s="495">
        <v>2.568957163390496</v>
      </c>
      <c r="F12" s="495">
        <v>4.5656966049382737</v>
      </c>
      <c r="G12" s="495">
        <v>1.874747560031816</v>
      </c>
      <c r="H12" s="495">
        <v>2.2650611996722123</v>
      </c>
      <c r="I12" s="495">
        <v>1.3875751022055103</v>
      </c>
      <c r="J12" s="495">
        <v>2.586057190097705</v>
      </c>
      <c r="K12" s="500">
        <v>1.9753086419753085</v>
      </c>
      <c r="L12" s="539">
        <f>SUM(D12:INDEX(D12:K12,0,MATCH('RFPR cover'!$C$7,$D$6:$K$6,0)))</f>
        <v>21.011176791169351</v>
      </c>
      <c r="M12" s="540">
        <f t="shared" si="1"/>
        <v>22.986485433144658</v>
      </c>
    </row>
    <row r="13" spans="1:14" s="2" customFormat="1">
      <c r="A13" s="123" t="s">
        <v>150</v>
      </c>
      <c r="B13" s="2" t="str">
        <f>Data!B155</f>
        <v>Incentive on connections engagement</v>
      </c>
      <c r="C13" s="737" t="str">
        <f>'RFPR cover'!$C$14</f>
        <v>£m 12/13</v>
      </c>
      <c r="D13" s="494">
        <v>0</v>
      </c>
      <c r="E13" s="495">
        <v>0</v>
      </c>
      <c r="F13" s="495">
        <v>0</v>
      </c>
      <c r="G13" s="495">
        <v>0</v>
      </c>
      <c r="H13" s="495">
        <v>0</v>
      </c>
      <c r="I13" s="495">
        <v>0</v>
      </c>
      <c r="J13" s="495">
        <v>0</v>
      </c>
      <c r="K13" s="500">
        <v>0</v>
      </c>
      <c r="L13" s="539">
        <f>SUM(D13:INDEX(D13:K13,0,MATCH('RFPR cover'!$C$7,$D$6:$K$6,0)))</f>
        <v>0</v>
      </c>
      <c r="M13" s="540">
        <f t="shared" si="1"/>
        <v>0</v>
      </c>
    </row>
    <row r="14" spans="1:14" s="2" customFormat="1">
      <c r="A14" s="123" t="s">
        <v>164</v>
      </c>
      <c r="B14" s="2" t="str">
        <f>Data!B156</f>
        <v>Time to Connect Incentive</v>
      </c>
      <c r="C14" s="737" t="str">
        <f>'RFPR cover'!$C$14</f>
        <v>£m 12/13</v>
      </c>
      <c r="D14" s="494">
        <v>1.0081340425531915</v>
      </c>
      <c r="E14" s="495">
        <v>0.6</v>
      </c>
      <c r="F14" s="495">
        <v>0.6</v>
      </c>
      <c r="G14" s="495">
        <v>0.6</v>
      </c>
      <c r="H14" s="495">
        <v>0.10343532424503871</v>
      </c>
      <c r="I14" s="495">
        <v>9.1035999999999895E-2</v>
      </c>
      <c r="J14" s="495">
        <v>0.27851838808149859</v>
      </c>
      <c r="K14" s="500">
        <v>0.4</v>
      </c>
      <c r="L14" s="539">
        <f>SUM(D14:INDEX(D14:K14,0,MATCH('RFPR cover'!$C$7,$D$6:$K$6,0)))</f>
        <v>3.2811237548797285</v>
      </c>
      <c r="M14" s="540">
        <f t="shared" si="1"/>
        <v>3.6811237548797284</v>
      </c>
    </row>
    <row r="15" spans="1:14" s="2" customFormat="1">
      <c r="A15" s="123" t="s">
        <v>165</v>
      </c>
      <c r="B15" s="2" t="str">
        <f>Data!B157</f>
        <v>Losses discretionary reward scheme</v>
      </c>
      <c r="C15" s="737" t="str">
        <f>'RFPR cover'!$C$14</f>
        <v>£m 12/13</v>
      </c>
      <c r="D15" s="494">
        <v>0</v>
      </c>
      <c r="E15" s="495">
        <v>0.38500000000000001</v>
      </c>
      <c r="F15" s="495">
        <v>0</v>
      </c>
      <c r="G15" s="495">
        <v>0</v>
      </c>
      <c r="H15" s="495">
        <v>0</v>
      </c>
      <c r="I15" s="495">
        <v>0</v>
      </c>
      <c r="J15" s="495">
        <v>0</v>
      </c>
      <c r="K15" s="500">
        <v>0</v>
      </c>
      <c r="L15" s="539">
        <f>SUM(D15:INDEX(D15:K15,0,MATCH('RFPR cover'!$C$7,$D$6:$K$6,0)))</f>
        <v>0.38500000000000001</v>
      </c>
      <c r="M15" s="540">
        <f t="shared" si="1"/>
        <v>0.38500000000000001</v>
      </c>
    </row>
    <row r="16" spans="1:14" s="2" customFormat="1">
      <c r="A16" s="123" t="s">
        <v>166</v>
      </c>
      <c r="B16" s="2" t="str">
        <f>Data!B158</f>
        <v/>
      </c>
      <c r="C16" s="737" t="str">
        <f>'RFPR cover'!$C$14</f>
        <v>£m 12/13</v>
      </c>
      <c r="D16" s="494">
        <v>0</v>
      </c>
      <c r="E16" s="495">
        <v>0</v>
      </c>
      <c r="F16" s="495">
        <v>0</v>
      </c>
      <c r="G16" s="495">
        <v>0</v>
      </c>
      <c r="H16" s="495">
        <v>0</v>
      </c>
      <c r="I16" s="495">
        <v>0</v>
      </c>
      <c r="J16" s="495">
        <v>0</v>
      </c>
      <c r="K16" s="500">
        <v>0</v>
      </c>
      <c r="L16" s="539">
        <f>SUM(D16:INDEX(D16:K16,0,MATCH('RFPR cover'!$C$7,$D$6:$K$6,0)))</f>
        <v>0</v>
      </c>
      <c r="M16" s="540">
        <f t="shared" si="1"/>
        <v>0</v>
      </c>
    </row>
    <row r="17" spans="1:14" s="2" customFormat="1">
      <c r="A17" s="123" t="s">
        <v>472</v>
      </c>
      <c r="B17" s="2" t="str">
        <f>Data!B159</f>
        <v/>
      </c>
      <c r="C17" s="737" t="str">
        <f>'RFPR cover'!$C$14</f>
        <v>£m 12/13</v>
      </c>
      <c r="D17" s="834">
        <v>0</v>
      </c>
      <c r="E17" s="835">
        <v>0</v>
      </c>
      <c r="F17" s="835">
        <v>0</v>
      </c>
      <c r="G17" s="835">
        <v>0</v>
      </c>
      <c r="H17" s="835">
        <v>0</v>
      </c>
      <c r="I17" s="835">
        <v>0</v>
      </c>
      <c r="J17" s="835">
        <v>0</v>
      </c>
      <c r="K17" s="504">
        <v>0</v>
      </c>
      <c r="L17" s="539">
        <f>SUM(D17:INDEX(D17:K17,0,MATCH('RFPR cover'!$C$7,$D$6:$K$6,0)))</f>
        <v>0</v>
      </c>
      <c r="M17" s="540">
        <f t="shared" si="1"/>
        <v>0</v>
      </c>
    </row>
    <row r="18" spans="1:14" s="2" customFormat="1">
      <c r="B18" s="12" t="s">
        <v>199</v>
      </c>
      <c r="C18" s="752" t="str">
        <f>'RFPR cover'!$C$14</f>
        <v>£m 12/13</v>
      </c>
      <c r="D18" s="501">
        <f>SUM(D11:D17)</f>
        <v>9.8705160133865295</v>
      </c>
      <c r="E18" s="502">
        <f t="shared" ref="E18:K18" si="2">SUM(E11:E17)</f>
        <v>6.8296271633904952</v>
      </c>
      <c r="F18" s="502">
        <f t="shared" si="2"/>
        <v>8.0637266049382781</v>
      </c>
      <c r="G18" s="502">
        <f t="shared" si="2"/>
        <v>6.7142725600318176</v>
      </c>
      <c r="H18" s="502">
        <f t="shared" si="2"/>
        <v>6.737496523917252</v>
      </c>
      <c r="I18" s="502">
        <f t="shared" si="2"/>
        <v>5.92361110220551</v>
      </c>
      <c r="J18" s="502">
        <f t="shared" si="2"/>
        <v>5.8422405976458922</v>
      </c>
      <c r="K18" s="503">
        <f t="shared" si="2"/>
        <v>5.7753086419753092</v>
      </c>
      <c r="L18" s="839">
        <f>SUM(L11:L17)</f>
        <v>49.981490565515777</v>
      </c>
      <c r="M18" s="503">
        <f>SUM(M11:M17)</f>
        <v>55.756799207491078</v>
      </c>
    </row>
    <row r="19" spans="1:14" s="2" customFormat="1">
      <c r="B19" s="12"/>
      <c r="C19" s="745"/>
      <c r="D19" s="745"/>
      <c r="E19" s="745"/>
      <c r="F19" s="745"/>
      <c r="G19" s="745"/>
      <c r="H19" s="745"/>
      <c r="I19" s="745"/>
      <c r="J19" s="745"/>
      <c r="K19" s="745"/>
      <c r="L19" s="745"/>
      <c r="M19" s="745"/>
    </row>
    <row r="20" spans="1:14" s="2" customFormat="1">
      <c r="B20" s="12" t="s">
        <v>366</v>
      </c>
      <c r="C20" s="745"/>
      <c r="D20" s="745"/>
      <c r="E20" s="745"/>
      <c r="F20" s="745"/>
      <c r="G20" s="745"/>
      <c r="H20" s="745"/>
      <c r="I20" s="745"/>
      <c r="J20" s="745"/>
      <c r="K20" s="745"/>
      <c r="L20" s="745"/>
      <c r="M20" s="745"/>
    </row>
    <row r="21" spans="1:14" s="2" customFormat="1">
      <c r="A21" s="3" t="str">
        <f>A11</f>
        <v>a</v>
      </c>
      <c r="B21" s="981" t="s">
        <v>602</v>
      </c>
      <c r="C21" s="981">
        <v>0</v>
      </c>
      <c r="D21" s="981">
        <v>0</v>
      </c>
      <c r="E21" s="981">
        <v>0</v>
      </c>
      <c r="F21" s="981">
        <v>0</v>
      </c>
      <c r="G21" s="981">
        <v>0</v>
      </c>
      <c r="H21" s="981">
        <v>0</v>
      </c>
      <c r="I21" s="981">
        <v>0</v>
      </c>
      <c r="J21" s="981">
        <v>0</v>
      </c>
      <c r="K21" s="981">
        <v>0</v>
      </c>
      <c r="L21" s="981">
        <v>0</v>
      </c>
      <c r="M21" s="981">
        <v>0</v>
      </c>
    </row>
    <row r="22" spans="1:14" s="2" customFormat="1">
      <c r="A22" s="3" t="str">
        <f>A12</f>
        <v>b</v>
      </c>
      <c r="B22" s="981" t="s">
        <v>237</v>
      </c>
      <c r="C22" s="981">
        <v>0</v>
      </c>
      <c r="D22" s="981">
        <v>0</v>
      </c>
      <c r="E22" s="981">
        <v>0</v>
      </c>
      <c r="F22" s="981">
        <v>0</v>
      </c>
      <c r="G22" s="981">
        <v>0</v>
      </c>
      <c r="H22" s="981">
        <v>0</v>
      </c>
      <c r="I22" s="981">
        <v>0</v>
      </c>
      <c r="J22" s="981">
        <v>0</v>
      </c>
      <c r="K22" s="981">
        <v>0</v>
      </c>
      <c r="L22" s="981">
        <v>0</v>
      </c>
      <c r="M22" s="981">
        <v>0</v>
      </c>
    </row>
    <row r="23" spans="1:14" s="2" customFormat="1">
      <c r="A23" s="3" t="str">
        <f>A13</f>
        <v>c</v>
      </c>
      <c r="B23" s="981" t="s">
        <v>603</v>
      </c>
      <c r="C23" s="981">
        <v>0</v>
      </c>
      <c r="D23" s="981">
        <v>0</v>
      </c>
      <c r="E23" s="981">
        <v>0</v>
      </c>
      <c r="F23" s="981">
        <v>0</v>
      </c>
      <c r="G23" s="981">
        <v>0</v>
      </c>
      <c r="H23" s="981">
        <v>0</v>
      </c>
      <c r="I23" s="981">
        <v>0</v>
      </c>
      <c r="J23" s="981">
        <v>0</v>
      </c>
      <c r="K23" s="981">
        <v>0</v>
      </c>
      <c r="L23" s="981">
        <v>0</v>
      </c>
      <c r="M23" s="981">
        <v>0</v>
      </c>
    </row>
    <row r="24" spans="1:14" s="2" customFormat="1">
      <c r="A24" s="3" t="str">
        <f>A14</f>
        <v>d</v>
      </c>
      <c r="B24" s="981" t="s">
        <v>237</v>
      </c>
      <c r="C24" s="981">
        <v>0</v>
      </c>
      <c r="D24" s="981">
        <v>0</v>
      </c>
      <c r="E24" s="981">
        <v>0</v>
      </c>
      <c r="F24" s="981">
        <v>0</v>
      </c>
      <c r="G24" s="981">
        <v>0</v>
      </c>
      <c r="H24" s="981">
        <v>0</v>
      </c>
      <c r="I24" s="981">
        <v>0</v>
      </c>
      <c r="J24" s="981">
        <v>0</v>
      </c>
      <c r="K24" s="981">
        <v>0</v>
      </c>
      <c r="L24" s="981">
        <v>0</v>
      </c>
      <c r="M24" s="981">
        <v>0</v>
      </c>
    </row>
    <row r="25" spans="1:14" s="2" customFormat="1">
      <c r="A25" s="3" t="str">
        <f>A15</f>
        <v>e</v>
      </c>
      <c r="B25" s="981" t="s">
        <v>604</v>
      </c>
      <c r="C25" s="981">
        <v>0</v>
      </c>
      <c r="D25" s="981">
        <v>0</v>
      </c>
      <c r="E25" s="981">
        <v>0</v>
      </c>
      <c r="F25" s="981">
        <v>0</v>
      </c>
      <c r="G25" s="981">
        <v>0</v>
      </c>
      <c r="H25" s="981">
        <v>0</v>
      </c>
      <c r="I25" s="981">
        <v>0</v>
      </c>
      <c r="J25" s="981">
        <v>0</v>
      </c>
      <c r="K25" s="981">
        <v>0</v>
      </c>
      <c r="L25" s="981">
        <v>0</v>
      </c>
      <c r="M25" s="981">
        <v>0</v>
      </c>
    </row>
    <row r="26" spans="1:14" s="2" customFormat="1">
      <c r="A26" s="3" t="s">
        <v>166</v>
      </c>
      <c r="B26" s="594" t="s">
        <v>237</v>
      </c>
      <c r="C26" s="594"/>
      <c r="D26" s="594"/>
      <c r="E26" s="594"/>
      <c r="F26" s="594"/>
      <c r="G26" s="594"/>
      <c r="H26" s="594"/>
      <c r="I26" s="594"/>
      <c r="J26" s="594"/>
      <c r="K26" s="594"/>
      <c r="L26" s="594"/>
      <c r="M26" s="594"/>
    </row>
    <row r="27" spans="1:14" s="2" customFormat="1">
      <c r="A27" s="3" t="s">
        <v>472</v>
      </c>
      <c r="B27" s="594" t="s">
        <v>237</v>
      </c>
      <c r="C27" s="594"/>
      <c r="D27" s="594"/>
      <c r="E27" s="594"/>
      <c r="F27" s="594"/>
      <c r="G27" s="594"/>
      <c r="H27" s="594"/>
      <c r="I27" s="594"/>
      <c r="J27" s="594"/>
      <c r="K27" s="594"/>
      <c r="L27" s="594"/>
      <c r="M27" s="594"/>
    </row>
    <row r="28" spans="1:14" s="439" customFormat="1">
      <c r="A28" s="32"/>
      <c r="B28" s="789"/>
      <c r="C28" s="789"/>
      <c r="D28" s="789"/>
      <c r="E28" s="789"/>
      <c r="F28" s="789"/>
      <c r="G28" s="789"/>
      <c r="H28" s="789"/>
      <c r="I28" s="789"/>
      <c r="J28" s="789"/>
      <c r="K28" s="789"/>
      <c r="L28" s="789"/>
      <c r="M28" s="789"/>
    </row>
    <row r="29" spans="1:14" s="2" customFormat="1">
      <c r="B29" s="12"/>
      <c r="C29" s="109"/>
      <c r="D29" s="42"/>
      <c r="E29" s="42"/>
      <c r="F29" s="42"/>
      <c r="G29" s="42"/>
      <c r="H29" s="42"/>
      <c r="I29" s="42"/>
      <c r="J29" s="42"/>
      <c r="K29" s="42"/>
    </row>
    <row r="30" spans="1:14" s="2" customFormat="1">
      <c r="B30" s="98" t="s">
        <v>196</v>
      </c>
      <c r="C30" s="119"/>
      <c r="D30" s="63"/>
      <c r="E30" s="63"/>
      <c r="F30" s="63"/>
      <c r="G30" s="63"/>
      <c r="H30" s="63"/>
      <c r="I30" s="63"/>
      <c r="J30" s="63"/>
      <c r="K30" s="63"/>
      <c r="L30" s="63"/>
      <c r="M30" s="63"/>
      <c r="N30" s="63"/>
    </row>
    <row r="31" spans="1:14" s="2" customFormat="1"/>
    <row r="32" spans="1:14" s="2" customFormat="1">
      <c r="B32" s="300" t="s">
        <v>207</v>
      </c>
      <c r="C32" s="232"/>
      <c r="D32" s="234"/>
      <c r="E32" s="234"/>
      <c r="F32" s="234"/>
      <c r="G32" s="234"/>
      <c r="H32" s="234"/>
      <c r="I32" s="234"/>
      <c r="J32" s="234"/>
      <c r="K32" s="234"/>
      <c r="L32" s="234"/>
      <c r="M32" s="234"/>
      <c r="N32" s="234"/>
    </row>
    <row r="33" spans="1:14" s="2" customFormat="1">
      <c r="B33" s="301" t="s">
        <v>237</v>
      </c>
      <c r="C33" s="232"/>
      <c r="D33" s="234"/>
      <c r="E33" s="234"/>
      <c r="F33" s="234"/>
      <c r="G33" s="234"/>
      <c r="H33" s="234"/>
      <c r="I33" s="234"/>
      <c r="J33" s="234"/>
      <c r="K33" s="234"/>
      <c r="L33" s="234"/>
      <c r="M33" s="234"/>
      <c r="N33" s="234"/>
    </row>
    <row r="34" spans="1:14" s="2" customFormat="1">
      <c r="B34" s="301" t="s">
        <v>473</v>
      </c>
      <c r="C34" s="232"/>
      <c r="D34" s="234"/>
      <c r="E34" s="234"/>
      <c r="F34" s="234"/>
      <c r="G34" s="234"/>
      <c r="H34" s="234"/>
      <c r="I34" s="234"/>
      <c r="J34" s="234"/>
      <c r="K34" s="234"/>
      <c r="L34" s="234"/>
      <c r="M34" s="234"/>
      <c r="N34" s="234"/>
    </row>
    <row r="35" spans="1:14" s="2" customFormat="1">
      <c r="B35" s="301" t="s">
        <v>205</v>
      </c>
      <c r="C35" s="232"/>
      <c r="D35" s="234"/>
      <c r="E35" s="234"/>
      <c r="F35" s="234"/>
      <c r="G35" s="234"/>
      <c r="H35" s="234"/>
      <c r="I35" s="234"/>
      <c r="J35" s="234"/>
      <c r="K35" s="234"/>
      <c r="L35" s="234"/>
      <c r="M35" s="234"/>
      <c r="N35" s="234"/>
    </row>
    <row r="36" spans="1:14" s="2" customFormat="1">
      <c r="B36" s="301" t="s">
        <v>198</v>
      </c>
      <c r="C36" s="232"/>
      <c r="D36" s="234"/>
      <c r="E36" s="234"/>
      <c r="F36" s="234"/>
      <c r="G36" s="234"/>
      <c r="H36" s="234"/>
      <c r="I36" s="234"/>
      <c r="J36" s="234"/>
      <c r="K36" s="234"/>
      <c r="L36" s="234"/>
      <c r="M36" s="234"/>
      <c r="N36" s="234"/>
    </row>
    <row r="37" spans="1:14" s="2" customFormat="1">
      <c r="B37" s="301" t="s">
        <v>204</v>
      </c>
      <c r="C37" s="232"/>
      <c r="D37" s="234"/>
      <c r="E37" s="234"/>
      <c r="F37" s="234"/>
      <c r="G37" s="234"/>
      <c r="H37" s="234"/>
      <c r="I37" s="234"/>
      <c r="J37" s="234"/>
      <c r="K37" s="234"/>
      <c r="L37" s="234"/>
      <c r="M37" s="234"/>
      <c r="N37" s="234"/>
    </row>
    <row r="38" spans="1:14" s="2" customFormat="1">
      <c r="B38" s="12"/>
      <c r="C38" s="109"/>
    </row>
    <row r="39" spans="1:14" s="2" customFormat="1">
      <c r="A39" s="123" t="str">
        <f t="shared" ref="A39:A45" si="3">A11</f>
        <v>a</v>
      </c>
      <c r="B39" s="2" t="str">
        <f>$B$11&amp;""</f>
        <v>Broad measure of customer service</v>
      </c>
      <c r="C39" s="737" t="str">
        <f>'RFPR cover'!$C$14</f>
        <v>£m 12/13</v>
      </c>
      <c r="D39" s="535">
        <f>D51</f>
        <v>2.5104330000000008</v>
      </c>
      <c r="E39" s="840">
        <f t="shared" ref="E39:K39" si="4">E51</f>
        <v>2.6532927000000002</v>
      </c>
      <c r="F39" s="840">
        <f t="shared" si="4"/>
        <v>2.3474043000000036</v>
      </c>
      <c r="G39" s="840">
        <f t="shared" si="4"/>
        <v>3.4340152500000021</v>
      </c>
      <c r="H39" s="840">
        <f t="shared" si="4"/>
        <v>3.5388900000000008</v>
      </c>
      <c r="I39" s="840">
        <f t="shared" si="4"/>
        <v>3.6004500000000004</v>
      </c>
      <c r="J39" s="840">
        <f t="shared" si="4"/>
        <v>2.411908665768018</v>
      </c>
      <c r="K39" s="536">
        <f t="shared" si="4"/>
        <v>2.754</v>
      </c>
      <c r="L39" s="535">
        <f>SUM(D39:INDEX(D39:K39,0,MATCH('RFPR cover'!$C$7,$D$6:$K$6,0)))</f>
        <v>20.496393915768024</v>
      </c>
      <c r="M39" s="536">
        <f t="shared" ref="M39:M45" si="5">SUM(D39:K39)</f>
        <v>23.250393915768026</v>
      </c>
    </row>
    <row r="40" spans="1:14" s="2" customFormat="1">
      <c r="A40" s="123" t="str">
        <f t="shared" si="3"/>
        <v>b</v>
      </c>
      <c r="B40" s="2" t="str">
        <f>$B$12&amp;""</f>
        <v>Interruptions-related quality of service</v>
      </c>
      <c r="C40" s="737" t="str">
        <f>'RFPR cover'!$C$14</f>
        <v>£m 12/13</v>
      </c>
      <c r="D40" s="539">
        <f>D55</f>
        <v>4.6680963963750033</v>
      </c>
      <c r="E40" s="841">
        <f t="shared" ref="E40:K40" si="6">E55</f>
        <v>2.0808553023463019</v>
      </c>
      <c r="F40" s="841">
        <f t="shared" si="6"/>
        <v>3.6982142500000017</v>
      </c>
      <c r="G40" s="841">
        <f t="shared" si="6"/>
        <v>1.518545523625771</v>
      </c>
      <c r="H40" s="841">
        <f t="shared" si="6"/>
        <v>1.8346995717344921</v>
      </c>
      <c r="I40" s="841">
        <f t="shared" si="6"/>
        <v>1.1239358327864635</v>
      </c>
      <c r="J40" s="841">
        <f t="shared" si="6"/>
        <v>2.0947063239791412</v>
      </c>
      <c r="K40" s="540">
        <f t="shared" si="6"/>
        <v>1.6</v>
      </c>
      <c r="L40" s="539">
        <f>SUM(D40:INDEX(D40:K40,0,MATCH('RFPR cover'!$C$7,$D$6:$K$6,0)))</f>
        <v>17.019053200847175</v>
      </c>
      <c r="M40" s="540">
        <f t="shared" si="5"/>
        <v>18.619053200847176</v>
      </c>
    </row>
    <row r="41" spans="1:14" s="2" customFormat="1">
      <c r="A41" s="123" t="str">
        <f t="shared" si="3"/>
        <v>c</v>
      </c>
      <c r="B41" s="2" t="str">
        <f>$B$13&amp;""</f>
        <v>Incentive on connections engagement</v>
      </c>
      <c r="C41" s="737" t="str">
        <f>'RFPR cover'!$C$14</f>
        <v>£m 12/13</v>
      </c>
      <c r="D41" s="539">
        <f>D59</f>
        <v>0</v>
      </c>
      <c r="E41" s="841">
        <f t="shared" ref="E41:K41" si="7">E59</f>
        <v>0</v>
      </c>
      <c r="F41" s="841">
        <f t="shared" si="7"/>
        <v>0</v>
      </c>
      <c r="G41" s="841">
        <f t="shared" si="7"/>
        <v>0</v>
      </c>
      <c r="H41" s="841">
        <f t="shared" si="7"/>
        <v>0</v>
      </c>
      <c r="I41" s="841">
        <f t="shared" si="7"/>
        <v>0</v>
      </c>
      <c r="J41" s="841">
        <f t="shared" si="7"/>
        <v>0</v>
      </c>
      <c r="K41" s="540">
        <f t="shared" si="7"/>
        <v>0</v>
      </c>
      <c r="L41" s="539">
        <f>SUM(D41:INDEX(D41:K41,0,MATCH('RFPR cover'!$C$7,$D$6:$K$6,0)))</f>
        <v>0</v>
      </c>
      <c r="M41" s="540">
        <f t="shared" si="5"/>
        <v>0</v>
      </c>
    </row>
    <row r="42" spans="1:14" s="2" customFormat="1">
      <c r="A42" s="123" t="str">
        <f t="shared" si="3"/>
        <v>d</v>
      </c>
      <c r="B42" s="2" t="str">
        <f>$B$14&amp;""</f>
        <v>Time to Connect Incentive</v>
      </c>
      <c r="C42" s="737" t="str">
        <f>'RFPR cover'!$C$14</f>
        <v>£m 12/13</v>
      </c>
      <c r="D42" s="539">
        <f>D63</f>
        <v>0.81658857446808519</v>
      </c>
      <c r="E42" s="841">
        <f t="shared" ref="E42:K42" si="8">E63</f>
        <v>0.48599999999999999</v>
      </c>
      <c r="F42" s="841">
        <f t="shared" si="8"/>
        <v>0.48599999999999999</v>
      </c>
      <c r="G42" s="841">
        <f t="shared" si="8"/>
        <v>0.48599999999999999</v>
      </c>
      <c r="H42" s="841">
        <f t="shared" si="8"/>
        <v>8.3782612638481357E-2</v>
      </c>
      <c r="I42" s="841">
        <f t="shared" si="8"/>
        <v>7.3739159999999915E-2</v>
      </c>
      <c r="J42" s="841">
        <f t="shared" si="8"/>
        <v>0.22559989434601388</v>
      </c>
      <c r="K42" s="540">
        <f t="shared" si="8"/>
        <v>0.32400000000000007</v>
      </c>
      <c r="L42" s="539">
        <f>SUM(D42:INDEX(D42:K42,0,MATCH('RFPR cover'!$C$7,$D$6:$K$6,0)))</f>
        <v>2.6577102414525804</v>
      </c>
      <c r="M42" s="540">
        <f t="shared" si="5"/>
        <v>2.9817102414525802</v>
      </c>
    </row>
    <row r="43" spans="1:14" s="2" customFormat="1">
      <c r="A43" s="123" t="str">
        <f t="shared" si="3"/>
        <v>e</v>
      </c>
      <c r="B43" s="2" t="str">
        <f>$B$15&amp;""</f>
        <v>Losses discretionary reward scheme</v>
      </c>
      <c r="C43" s="737" t="str">
        <f>'RFPR cover'!$C$14</f>
        <v>£m 12/13</v>
      </c>
      <c r="D43" s="539">
        <f>D67</f>
        <v>0</v>
      </c>
      <c r="E43" s="841">
        <f t="shared" ref="E43:K43" si="9">E67</f>
        <v>0.31185000000000002</v>
      </c>
      <c r="F43" s="841">
        <f t="shared" si="9"/>
        <v>0</v>
      </c>
      <c r="G43" s="841">
        <f t="shared" si="9"/>
        <v>0</v>
      </c>
      <c r="H43" s="841">
        <f t="shared" si="9"/>
        <v>0</v>
      </c>
      <c r="I43" s="841">
        <f t="shared" si="9"/>
        <v>0</v>
      </c>
      <c r="J43" s="841">
        <f t="shared" si="9"/>
        <v>0</v>
      </c>
      <c r="K43" s="540">
        <f t="shared" si="9"/>
        <v>0</v>
      </c>
      <c r="L43" s="539">
        <f>SUM(D43:INDEX(D43:K43,0,MATCH('RFPR cover'!$C$7,$D$6:$K$6,0)))</f>
        <v>0.31185000000000002</v>
      </c>
      <c r="M43" s="540">
        <f t="shared" si="5"/>
        <v>0.31185000000000002</v>
      </c>
    </row>
    <row r="44" spans="1:14" s="2" customFormat="1">
      <c r="A44" s="123" t="str">
        <f t="shared" si="3"/>
        <v>f</v>
      </c>
      <c r="B44" s="2" t="str">
        <f>$B$16&amp;""</f>
        <v/>
      </c>
      <c r="C44" s="737" t="str">
        <f>'RFPR cover'!$C$14</f>
        <v>£m 12/13</v>
      </c>
      <c r="D44" s="539">
        <f>D71</f>
        <v>0</v>
      </c>
      <c r="E44" s="841">
        <f t="shared" ref="E44:K44" si="10">E71</f>
        <v>0</v>
      </c>
      <c r="F44" s="841">
        <f t="shared" si="10"/>
        <v>0</v>
      </c>
      <c r="G44" s="841">
        <f t="shared" si="10"/>
        <v>0</v>
      </c>
      <c r="H44" s="841">
        <f t="shared" si="10"/>
        <v>0</v>
      </c>
      <c r="I44" s="841">
        <f t="shared" si="10"/>
        <v>0</v>
      </c>
      <c r="J44" s="841">
        <f t="shared" si="10"/>
        <v>0</v>
      </c>
      <c r="K44" s="540">
        <f t="shared" si="10"/>
        <v>0</v>
      </c>
      <c r="L44" s="539">
        <f>SUM(D44:INDEX(D44:K44,0,MATCH('RFPR cover'!$C$7,$D$6:$K$6,0)))</f>
        <v>0</v>
      </c>
      <c r="M44" s="540">
        <f t="shared" si="5"/>
        <v>0</v>
      </c>
    </row>
    <row r="45" spans="1:14" s="2" customFormat="1">
      <c r="A45" s="123" t="str">
        <f t="shared" si="3"/>
        <v>g</v>
      </c>
      <c r="B45" s="2" t="str">
        <f>$B$17&amp;""</f>
        <v/>
      </c>
      <c r="C45" s="737" t="str">
        <f>'RFPR cover'!$C$14</f>
        <v>£m 12/13</v>
      </c>
      <c r="D45" s="842">
        <f>D75</f>
        <v>0</v>
      </c>
      <c r="E45" s="843">
        <f t="shared" ref="E45:K45" si="11">E75</f>
        <v>0</v>
      </c>
      <c r="F45" s="843">
        <f t="shared" si="11"/>
        <v>0</v>
      </c>
      <c r="G45" s="843">
        <f t="shared" si="11"/>
        <v>0</v>
      </c>
      <c r="H45" s="843">
        <f t="shared" si="11"/>
        <v>0</v>
      </c>
      <c r="I45" s="843">
        <f t="shared" si="11"/>
        <v>0</v>
      </c>
      <c r="J45" s="843">
        <f t="shared" si="11"/>
        <v>0</v>
      </c>
      <c r="K45" s="844">
        <f t="shared" si="11"/>
        <v>0</v>
      </c>
      <c r="L45" s="539">
        <f>SUM(D45:INDEX(D45:K45,0,MATCH('RFPR cover'!$C$7,$D$6:$K$6,0)))</f>
        <v>0</v>
      </c>
      <c r="M45" s="540">
        <f t="shared" si="5"/>
        <v>0</v>
      </c>
    </row>
    <row r="46" spans="1:14" s="2" customFormat="1">
      <c r="B46" s="12" t="s">
        <v>200</v>
      </c>
      <c r="C46" s="752" t="str">
        <f>'RFPR cover'!$C$14</f>
        <v>£m 12/13</v>
      </c>
      <c r="D46" s="501">
        <f>SUM(D39:D45)</f>
        <v>7.9951179708430891</v>
      </c>
      <c r="E46" s="502">
        <f t="shared" ref="E46:M46" si="12">SUM(E39:E45)</f>
        <v>5.5319980023463016</v>
      </c>
      <c r="F46" s="502">
        <f t="shared" si="12"/>
        <v>6.5316185500000055</v>
      </c>
      <c r="G46" s="502">
        <f t="shared" si="12"/>
        <v>5.4385607736257731</v>
      </c>
      <c r="H46" s="502">
        <f t="shared" si="12"/>
        <v>5.4573721843729741</v>
      </c>
      <c r="I46" s="502">
        <f t="shared" si="12"/>
        <v>4.7981249927864633</v>
      </c>
      <c r="J46" s="502">
        <f t="shared" si="12"/>
        <v>4.7322148840931737</v>
      </c>
      <c r="K46" s="503">
        <f t="shared" si="12"/>
        <v>4.6779999999999999</v>
      </c>
      <c r="L46" s="839">
        <f t="shared" si="12"/>
        <v>40.485007358067783</v>
      </c>
      <c r="M46" s="502">
        <f t="shared" si="12"/>
        <v>45.163007358067787</v>
      </c>
    </row>
    <row r="47" spans="1:14" s="2" customFormat="1">
      <c r="B47" s="12"/>
      <c r="C47" s="745"/>
      <c r="D47" s="745"/>
      <c r="E47" s="745"/>
      <c r="F47" s="745"/>
      <c r="G47" s="745"/>
      <c r="H47" s="745"/>
      <c r="I47" s="745"/>
      <c r="J47" s="745"/>
      <c r="K47" s="745"/>
      <c r="L47" s="745"/>
      <c r="M47" s="745"/>
    </row>
    <row r="48" spans="1:14" s="2" customFormat="1">
      <c r="B48" s="12"/>
      <c r="C48" s="745"/>
      <c r="D48" s="752"/>
      <c r="E48" s="745"/>
      <c r="F48" s="745"/>
      <c r="G48" s="745"/>
      <c r="H48" s="745"/>
      <c r="I48" s="745"/>
      <c r="J48" s="745"/>
      <c r="K48" s="745"/>
      <c r="L48" s="745"/>
      <c r="M48" s="745"/>
    </row>
    <row r="49" spans="1:13" s="2" customFormat="1">
      <c r="A49" s="123" t="str">
        <f>$A$11</f>
        <v>a</v>
      </c>
      <c r="B49" s="2" t="str">
        <f>INDEX($B$11:$B$15,MATCH($A49,$A$11:$A$15,0),0)&amp;""</f>
        <v>Broad measure of customer service</v>
      </c>
      <c r="C49" s="737" t="str">
        <f>'RFPR cover'!$C$14</f>
        <v>£m 12/13</v>
      </c>
      <c r="D49" s="845">
        <f>INDEX($D$11:$K$17,MATCH($A49,$A$11:$A$17,0),0)</f>
        <v>3.0993000000000008</v>
      </c>
      <c r="E49" s="846">
        <f t="shared" ref="E49:K49" si="13">INDEX($D$11:$K$17,MATCH($A49,$A$11:$A$17,0),0)</f>
        <v>3.2756699999999999</v>
      </c>
      <c r="F49" s="846">
        <f t="shared" si="13"/>
        <v>2.8980300000000043</v>
      </c>
      <c r="G49" s="846">
        <f t="shared" si="13"/>
        <v>4.2395250000000022</v>
      </c>
      <c r="H49" s="846">
        <f t="shared" si="13"/>
        <v>4.3690000000000007</v>
      </c>
      <c r="I49" s="846">
        <f t="shared" si="13"/>
        <v>4.4450000000000003</v>
      </c>
      <c r="J49" s="846">
        <f t="shared" si="13"/>
        <v>2.9776650194666887</v>
      </c>
      <c r="K49" s="847">
        <f t="shared" si="13"/>
        <v>3.4</v>
      </c>
      <c r="L49" s="845">
        <f>SUM(D49:INDEX(D49:K49,0,MATCH('RFPR cover'!$C$7,$D$6:$K$6,0)))</f>
        <v>25.304190019466695</v>
      </c>
      <c r="M49" s="847">
        <f>SUM(D49:K49)</f>
        <v>28.704190019466694</v>
      </c>
    </row>
    <row r="50" spans="1:13" s="2" customFormat="1">
      <c r="A50" s="123"/>
      <c r="B50" s="2" t="s">
        <v>197</v>
      </c>
      <c r="C50" s="790" t="s">
        <v>198</v>
      </c>
      <c r="D50" s="658">
        <f>IF($C50=$B$33,$B$33,INDEX(Data!$G$14:$G$30,MATCH('R5 - Output Incentives'!D$6+RIGHT('R5 - Output Incentives'!$C50,2),Data!$C$14:$C$30,0),0))</f>
        <v>0.19</v>
      </c>
      <c r="E50" s="659">
        <f>IF($C50=$B$33,$B$33,INDEX(Data!$G$14:$G$30,MATCH('R5 - Output Incentives'!E$6+RIGHT('R5 - Output Incentives'!$C50,2),Data!$C$14:$C$30,0),0))</f>
        <v>0.19</v>
      </c>
      <c r="F50" s="659">
        <f>IF($C50=$B$33,$B$33,INDEX(Data!$G$14:$G$30,MATCH('R5 - Output Incentives'!F$6+RIGHT('R5 - Output Incentives'!$C50,2),Data!$C$14:$C$30,0),0))</f>
        <v>0.19</v>
      </c>
      <c r="G50" s="659">
        <f>IF($C50=$B$33,$B$33,INDEX(Data!$G$14:$G$30,MATCH('R5 - Output Incentives'!G$6+RIGHT('R5 - Output Incentives'!$C50,2),Data!$C$14:$C$30,0),0))</f>
        <v>0.19</v>
      </c>
      <c r="H50" s="659">
        <f>IF($C50=$B$33,$B$33,INDEX(Data!$G$14:$G$30,MATCH('R5 - Output Incentives'!H$6+RIGHT('R5 - Output Incentives'!$C50,2),Data!$C$14:$C$30,0),0))</f>
        <v>0.19</v>
      </c>
      <c r="I50" s="659">
        <f>IF($C50=$B$33,$B$33,INDEX(Data!$G$14:$G$30,MATCH('R5 - Output Incentives'!I$6+RIGHT('R5 - Output Incentives'!$C50,2),Data!$C$14:$C$30,0),0))</f>
        <v>0.19</v>
      </c>
      <c r="J50" s="659">
        <f>IF($C50=$B$33,$B$33,INDEX(Data!$G$14:$G$30,MATCH('R5 - Output Incentives'!J$6+RIGHT('R5 - Output Incentives'!$C50,2),Data!$C$14:$C$30,0),0))</f>
        <v>0.19</v>
      </c>
      <c r="K50" s="660">
        <f>IF($C50=$B$33,$B$33,INDEX(Data!$G$14:$G$30,MATCH('R5 - Output Incentives'!K$6+RIGHT('R5 - Output Incentives'!$C50,2),Data!$C$14:$C$30,0),0))</f>
        <v>0.19</v>
      </c>
      <c r="L50" s="848"/>
      <c r="M50" s="849"/>
    </row>
    <row r="51" spans="1:13" s="2" customFormat="1">
      <c r="A51" s="123"/>
      <c r="B51" s="2" t="s">
        <v>206</v>
      </c>
      <c r="C51" s="736"/>
      <c r="D51" s="501">
        <f>IFERROR(D49*(1-D50),0)</f>
        <v>2.5104330000000008</v>
      </c>
      <c r="E51" s="502">
        <f t="shared" ref="E51:K51" si="14">IFERROR(E49*(1-E50),0)</f>
        <v>2.6532927000000002</v>
      </c>
      <c r="F51" s="502">
        <f t="shared" si="14"/>
        <v>2.3474043000000036</v>
      </c>
      <c r="G51" s="502">
        <f t="shared" si="14"/>
        <v>3.4340152500000021</v>
      </c>
      <c r="H51" s="502">
        <f t="shared" si="14"/>
        <v>3.5388900000000008</v>
      </c>
      <c r="I51" s="502">
        <f t="shared" si="14"/>
        <v>3.6004500000000004</v>
      </c>
      <c r="J51" s="502">
        <f t="shared" si="14"/>
        <v>2.411908665768018</v>
      </c>
      <c r="K51" s="502">
        <f t="shared" si="14"/>
        <v>2.754</v>
      </c>
      <c r="L51" s="533">
        <f>SUM(D51:INDEX(D51:K51,0,MATCH('RFPR cover'!$C$7,$D$6:$K$6,0)))</f>
        <v>20.496393915768024</v>
      </c>
      <c r="M51" s="534">
        <f>SUM(D51:K51)</f>
        <v>23.250393915768026</v>
      </c>
    </row>
    <row r="52" spans="1:13" s="2" customFormat="1">
      <c r="A52" s="123"/>
      <c r="B52" s="12"/>
      <c r="C52" s="745"/>
      <c r="D52" s="745"/>
      <c r="E52" s="745"/>
      <c r="F52" s="745"/>
      <c r="G52" s="745"/>
      <c r="H52" s="745"/>
      <c r="I52" s="745"/>
      <c r="J52" s="745"/>
      <c r="K52" s="745"/>
      <c r="L52" s="745"/>
      <c r="M52" s="745"/>
    </row>
    <row r="53" spans="1:13" s="2" customFormat="1">
      <c r="A53" s="123" t="str">
        <f>$A$12</f>
        <v>b</v>
      </c>
      <c r="B53" s="2" t="str">
        <f>INDEX($B$11:$B$15,MATCH($A53,$A$11:$A$15,0),0)&amp;""</f>
        <v>Interruptions-related quality of service</v>
      </c>
      <c r="C53" s="737" t="str">
        <f>'RFPR cover'!$C$14</f>
        <v>£m 12/13</v>
      </c>
      <c r="D53" s="845">
        <f>INDEX($D$11:$K$17,MATCH($A53,$A$11:$A$17,0),0)</f>
        <v>5.763081970833337</v>
      </c>
      <c r="E53" s="846">
        <f t="shared" ref="E53:K53" si="15">INDEX($D$11:$K$17,MATCH($A53,$A$11:$A$17,0),0)</f>
        <v>2.568957163390496</v>
      </c>
      <c r="F53" s="846">
        <f t="shared" si="15"/>
        <v>4.5656966049382737</v>
      </c>
      <c r="G53" s="846">
        <f t="shared" si="15"/>
        <v>1.874747560031816</v>
      </c>
      <c r="H53" s="846">
        <f t="shared" si="15"/>
        <v>2.2650611996722123</v>
      </c>
      <c r="I53" s="846">
        <f t="shared" si="15"/>
        <v>1.3875751022055103</v>
      </c>
      <c r="J53" s="846">
        <f t="shared" si="15"/>
        <v>2.586057190097705</v>
      </c>
      <c r="K53" s="847">
        <f t="shared" si="15"/>
        <v>1.9753086419753085</v>
      </c>
      <c r="L53" s="535">
        <f>SUM(D53:INDEX(D53:K53,0,MATCH('RFPR cover'!$C$7,$D$6:$K$6,0)))</f>
        <v>21.011176791169351</v>
      </c>
      <c r="M53" s="536">
        <f>SUM(D53:K53)</f>
        <v>22.986485433144658</v>
      </c>
    </row>
    <row r="54" spans="1:13" s="2" customFormat="1">
      <c r="A54" s="123"/>
      <c r="B54" s="2" t="s">
        <v>197</v>
      </c>
      <c r="C54" s="790" t="s">
        <v>198</v>
      </c>
      <c r="D54" s="658">
        <f>IF($C54=$B$33,$B$33,INDEX(Data!$G$14:$G$30,MATCH('R5 - Output Incentives'!D$6+RIGHT('R5 - Output Incentives'!$C54,2),Data!$C$14:$C$30,0),0))</f>
        <v>0.19</v>
      </c>
      <c r="E54" s="659">
        <f>IF($C54=$B$33,$B$33,INDEX(Data!$G$14:$G$30,MATCH('R5 - Output Incentives'!E$6+RIGHT('R5 - Output Incentives'!$C54,2),Data!$C$14:$C$30,0),0))</f>
        <v>0.19</v>
      </c>
      <c r="F54" s="659">
        <f>IF($C54=$B$33,$B$33,INDEX(Data!$G$14:$G$30,MATCH('R5 - Output Incentives'!F$6+RIGHT('R5 - Output Incentives'!$C54,2),Data!$C$14:$C$30,0),0))</f>
        <v>0.19</v>
      </c>
      <c r="G54" s="659">
        <f>IF($C54=$B$33,$B$33,INDEX(Data!$G$14:$G$30,MATCH('R5 - Output Incentives'!G$6+RIGHT('R5 - Output Incentives'!$C54,2),Data!$C$14:$C$30,0),0))</f>
        <v>0.19</v>
      </c>
      <c r="H54" s="659">
        <f>IF($C54=$B$33,$B$33,INDEX(Data!$G$14:$G$30,MATCH('R5 - Output Incentives'!H$6+RIGHT('R5 - Output Incentives'!$C54,2),Data!$C$14:$C$30,0),0))</f>
        <v>0.19</v>
      </c>
      <c r="I54" s="659">
        <f>IF($C54=$B$33,$B$33,INDEX(Data!$G$14:$G$30,MATCH('R5 - Output Incentives'!I$6+RIGHT('R5 - Output Incentives'!$C54,2),Data!$C$14:$C$30,0),0))</f>
        <v>0.19</v>
      </c>
      <c r="J54" s="659">
        <f>IF($C54=$B$33,$B$33,INDEX(Data!$G$14:$G$30,MATCH('R5 - Output Incentives'!J$6+RIGHT('R5 - Output Incentives'!$C54,2),Data!$C$14:$C$30,0),0))</f>
        <v>0.19</v>
      </c>
      <c r="K54" s="660">
        <f>IF($C54=$B$33,$B$33,INDEX(Data!$G$14:$G$30,MATCH('R5 - Output Incentives'!K$6+RIGHT('R5 - Output Incentives'!$C54,2),Data!$C$14:$C$30,0),0))</f>
        <v>0.19</v>
      </c>
      <c r="L54" s="848"/>
      <c r="M54" s="849"/>
    </row>
    <row r="55" spans="1:13" s="2" customFormat="1">
      <c r="A55" s="123"/>
      <c r="B55" s="2" t="s">
        <v>206</v>
      </c>
      <c r="C55" s="736"/>
      <c r="D55" s="501">
        <f>IFERROR(D53*(1-D54),0)</f>
        <v>4.6680963963750033</v>
      </c>
      <c r="E55" s="502">
        <f t="shared" ref="E55:K55" si="16">IFERROR(E53*(1-E54),0)</f>
        <v>2.0808553023463019</v>
      </c>
      <c r="F55" s="502">
        <f t="shared" si="16"/>
        <v>3.6982142500000017</v>
      </c>
      <c r="G55" s="502">
        <f t="shared" si="16"/>
        <v>1.518545523625771</v>
      </c>
      <c r="H55" s="502">
        <f t="shared" si="16"/>
        <v>1.8346995717344921</v>
      </c>
      <c r="I55" s="502">
        <f t="shared" si="16"/>
        <v>1.1239358327864635</v>
      </c>
      <c r="J55" s="502">
        <f t="shared" si="16"/>
        <v>2.0947063239791412</v>
      </c>
      <c r="K55" s="502">
        <f t="shared" si="16"/>
        <v>1.6</v>
      </c>
      <c r="L55" s="533">
        <f>SUM(D55:INDEX(D55:K55,0,MATCH('RFPR cover'!$C$7,$D$6:$K$6,0)))</f>
        <v>17.019053200847175</v>
      </c>
      <c r="M55" s="534">
        <f>SUM(D55:K55)</f>
        <v>18.619053200847176</v>
      </c>
    </row>
    <row r="56" spans="1:13" s="2" customFormat="1">
      <c r="A56" s="123"/>
      <c r="B56" s="12"/>
      <c r="C56" s="745"/>
      <c r="D56" s="745"/>
      <c r="E56" s="745"/>
      <c r="F56" s="745"/>
      <c r="G56" s="745"/>
      <c r="H56" s="745"/>
      <c r="I56" s="745"/>
      <c r="J56" s="745"/>
      <c r="K56" s="745"/>
      <c r="L56" s="745"/>
      <c r="M56" s="745"/>
    </row>
    <row r="57" spans="1:13" s="2" customFormat="1">
      <c r="A57" s="123" t="str">
        <f>$A$13</f>
        <v>c</v>
      </c>
      <c r="B57" s="2" t="str">
        <f>INDEX($B$11:$B$15,MATCH($A57,$A$11:$A$15,0),0)&amp;""</f>
        <v>Incentive on connections engagement</v>
      </c>
      <c r="C57" s="737" t="str">
        <f>'RFPR cover'!$C$14</f>
        <v>£m 12/13</v>
      </c>
      <c r="D57" s="845">
        <f>INDEX($D$11:$K$17,MATCH($A57,$A$11:$A$17,0),0)</f>
        <v>0</v>
      </c>
      <c r="E57" s="846">
        <f t="shared" ref="E57:K57" si="17">INDEX($D$11:$K$17,MATCH($A57,$A$11:$A$17,0),0)</f>
        <v>0</v>
      </c>
      <c r="F57" s="846">
        <f t="shared" si="17"/>
        <v>0</v>
      </c>
      <c r="G57" s="846">
        <f t="shared" si="17"/>
        <v>0</v>
      </c>
      <c r="H57" s="846">
        <f t="shared" si="17"/>
        <v>0</v>
      </c>
      <c r="I57" s="846">
        <f t="shared" si="17"/>
        <v>0</v>
      </c>
      <c r="J57" s="846">
        <f t="shared" si="17"/>
        <v>0</v>
      </c>
      <c r="K57" s="847">
        <f t="shared" si="17"/>
        <v>0</v>
      </c>
      <c r="L57" s="535">
        <f>SUM(D57:INDEX(D57:K57,0,MATCH('RFPR cover'!$C$7,$D$6:$K$6,0)))</f>
        <v>0</v>
      </c>
      <c r="M57" s="536">
        <f>SUM(D57:K57)</f>
        <v>0</v>
      </c>
    </row>
    <row r="58" spans="1:13" s="2" customFormat="1">
      <c r="A58" s="123"/>
      <c r="B58" s="2" t="s">
        <v>197</v>
      </c>
      <c r="C58" s="790" t="s">
        <v>204</v>
      </c>
      <c r="D58" s="658">
        <f>IF($C58=$B$33,$B$33,INDEX(Data!$G$14:$G$30,MATCH('R5 - Output Incentives'!D$6+RIGHT('R5 - Output Incentives'!$C58,2),Data!$C$14:$C$30,0),0))</f>
        <v>0.19</v>
      </c>
      <c r="E58" s="659">
        <f>IF($C58=$B$33,$B$33,INDEX(Data!$G$14:$G$30,MATCH('R5 - Output Incentives'!E$6+RIGHT('R5 - Output Incentives'!$C58,2),Data!$C$14:$C$30,0),0))</f>
        <v>0.19</v>
      </c>
      <c r="F58" s="659">
        <f>IF($C58=$B$33,$B$33,INDEX(Data!$G$14:$G$30,MATCH('R5 - Output Incentives'!F$6+RIGHT('R5 - Output Incentives'!$C58,2),Data!$C$14:$C$30,0),0))</f>
        <v>0.19</v>
      </c>
      <c r="G58" s="659">
        <f>IF($C58=$B$33,$B$33,INDEX(Data!$G$14:$G$30,MATCH('R5 - Output Incentives'!G$6+RIGHT('R5 - Output Incentives'!$C58,2),Data!$C$14:$C$30,0),0))</f>
        <v>0.19</v>
      </c>
      <c r="H58" s="659">
        <f>IF($C58=$B$33,$B$33,INDEX(Data!$G$14:$G$30,MATCH('R5 - Output Incentives'!H$6+RIGHT('R5 - Output Incentives'!$C58,2),Data!$C$14:$C$30,0),0))</f>
        <v>0.19</v>
      </c>
      <c r="I58" s="659">
        <f>IF($C58=$B$33,$B$33,INDEX(Data!$G$14:$G$30,MATCH('R5 - Output Incentives'!I$6+RIGHT('R5 - Output Incentives'!$C58,2),Data!$C$14:$C$30,0),0))</f>
        <v>0.19</v>
      </c>
      <c r="J58" s="659">
        <f>IF($C58=$B$33,$B$33,INDEX(Data!$G$14:$G$30,MATCH('R5 - Output Incentives'!J$6+RIGHT('R5 - Output Incentives'!$C58,2),Data!$C$14:$C$30,0),0))</f>
        <v>0.19</v>
      </c>
      <c r="K58" s="660">
        <f>IF($C58=$B$33,$B$33,INDEX(Data!$G$14:$G$30,MATCH('R5 - Output Incentives'!K$6+RIGHT('R5 - Output Incentives'!$C58,2),Data!$C$14:$C$30,0),0))</f>
        <v>0.19</v>
      </c>
      <c r="L58" s="848"/>
      <c r="M58" s="849"/>
    </row>
    <row r="59" spans="1:13" s="2" customFormat="1">
      <c r="A59" s="123"/>
      <c r="B59" s="2" t="s">
        <v>206</v>
      </c>
      <c r="C59" s="736"/>
      <c r="D59" s="501">
        <f>IFERROR(D57*(1-D58),0)</f>
        <v>0</v>
      </c>
      <c r="E59" s="502">
        <f t="shared" ref="E59:K59" si="18">IFERROR(E57*(1-E58),0)</f>
        <v>0</v>
      </c>
      <c r="F59" s="502">
        <f t="shared" si="18"/>
        <v>0</v>
      </c>
      <c r="G59" s="502">
        <f t="shared" si="18"/>
        <v>0</v>
      </c>
      <c r="H59" s="502">
        <f t="shared" si="18"/>
        <v>0</v>
      </c>
      <c r="I59" s="502">
        <f t="shared" si="18"/>
        <v>0</v>
      </c>
      <c r="J59" s="502">
        <f t="shared" si="18"/>
        <v>0</v>
      </c>
      <c r="K59" s="502">
        <f t="shared" si="18"/>
        <v>0</v>
      </c>
      <c r="L59" s="533">
        <f>SUM(D59:INDEX(D59:K59,0,MATCH('RFPR cover'!$C$7,$D$6:$K$6,0)))</f>
        <v>0</v>
      </c>
      <c r="M59" s="534">
        <f>SUM(D59:K59)</f>
        <v>0</v>
      </c>
    </row>
    <row r="60" spans="1:13" s="2" customFormat="1">
      <c r="A60" s="123"/>
      <c r="B60" s="12"/>
      <c r="C60" s="745"/>
      <c r="D60" s="745"/>
      <c r="E60" s="745"/>
      <c r="F60" s="745"/>
      <c r="G60" s="745"/>
      <c r="H60" s="745"/>
      <c r="I60" s="745"/>
      <c r="J60" s="745"/>
      <c r="K60" s="745"/>
      <c r="L60" s="745"/>
      <c r="M60" s="745"/>
    </row>
    <row r="61" spans="1:13" s="2" customFormat="1">
      <c r="A61" s="123" t="str">
        <f>$A$14</f>
        <v>d</v>
      </c>
      <c r="B61" s="2" t="str">
        <f>INDEX($B$11:$B$15,MATCH($A61,$A$11:$A$15,0),0)&amp;""</f>
        <v>Time to Connect Incentive</v>
      </c>
      <c r="C61" s="737" t="str">
        <f>'RFPR cover'!$C$14</f>
        <v>£m 12/13</v>
      </c>
      <c r="D61" s="845">
        <f>INDEX($D$11:$K$17,MATCH($A61,$A$11:$A$17,0),0)</f>
        <v>1.0081340425531915</v>
      </c>
      <c r="E61" s="846">
        <f t="shared" ref="E61:K61" si="19">INDEX($D$11:$K$17,MATCH($A61,$A$11:$A$17,0),0)</f>
        <v>0.6</v>
      </c>
      <c r="F61" s="846">
        <f t="shared" si="19"/>
        <v>0.6</v>
      </c>
      <c r="G61" s="846">
        <f t="shared" si="19"/>
        <v>0.6</v>
      </c>
      <c r="H61" s="846">
        <f t="shared" si="19"/>
        <v>0.10343532424503871</v>
      </c>
      <c r="I61" s="846">
        <f t="shared" si="19"/>
        <v>9.1035999999999895E-2</v>
      </c>
      <c r="J61" s="846">
        <f t="shared" si="19"/>
        <v>0.27851838808149859</v>
      </c>
      <c r="K61" s="847">
        <f t="shared" si="19"/>
        <v>0.4</v>
      </c>
      <c r="L61" s="535">
        <f>SUM(D61:INDEX(D61:K61,0,MATCH('RFPR cover'!$C$7,$D$6:$K$6,0)))</f>
        <v>3.2811237548797285</v>
      </c>
      <c r="M61" s="536">
        <f>SUM(D61:K61)</f>
        <v>3.6811237548797284</v>
      </c>
    </row>
    <row r="62" spans="1:13" s="2" customFormat="1">
      <c r="A62" s="123"/>
      <c r="B62" s="2" t="s">
        <v>197</v>
      </c>
      <c r="C62" s="790" t="s">
        <v>198</v>
      </c>
      <c r="D62" s="658">
        <f>IF($C62=$B$33,$B$33,INDEX(Data!$G$14:$G$30,MATCH('R5 - Output Incentives'!D$6+RIGHT('R5 - Output Incentives'!$C62,2),Data!$C$14:$C$30,0),0))</f>
        <v>0.19</v>
      </c>
      <c r="E62" s="659">
        <f>IF($C62=$B$33,$B$33,INDEX(Data!$G$14:$G$30,MATCH('R5 - Output Incentives'!E$6+RIGHT('R5 - Output Incentives'!$C62,2),Data!$C$14:$C$30,0),0))</f>
        <v>0.19</v>
      </c>
      <c r="F62" s="659">
        <f>IF($C62=$B$33,$B$33,INDEX(Data!$G$14:$G$30,MATCH('R5 - Output Incentives'!F$6+RIGHT('R5 - Output Incentives'!$C62,2),Data!$C$14:$C$30,0),0))</f>
        <v>0.19</v>
      </c>
      <c r="G62" s="659">
        <f>IF($C62=$B$33,$B$33,INDEX(Data!$G$14:$G$30,MATCH('R5 - Output Incentives'!G$6+RIGHT('R5 - Output Incentives'!$C62,2),Data!$C$14:$C$30,0),0))</f>
        <v>0.19</v>
      </c>
      <c r="H62" s="659">
        <f>IF($C62=$B$33,$B$33,INDEX(Data!$G$14:$G$30,MATCH('R5 - Output Incentives'!H$6+RIGHT('R5 - Output Incentives'!$C62,2),Data!$C$14:$C$30,0),0))</f>
        <v>0.19</v>
      </c>
      <c r="I62" s="659">
        <f>IF($C62=$B$33,$B$33,INDEX(Data!$G$14:$G$30,MATCH('R5 - Output Incentives'!I$6+RIGHT('R5 - Output Incentives'!$C62,2),Data!$C$14:$C$30,0),0))</f>
        <v>0.19</v>
      </c>
      <c r="J62" s="659">
        <f>IF($C62=$B$33,$B$33,INDEX(Data!$G$14:$G$30,MATCH('R5 - Output Incentives'!J$6+RIGHT('R5 - Output Incentives'!$C62,2),Data!$C$14:$C$30,0),0))</f>
        <v>0.19</v>
      </c>
      <c r="K62" s="660">
        <f>IF($C62=$B$33,$B$33,INDEX(Data!$G$14:$G$30,MATCH('R5 - Output Incentives'!K$6+RIGHT('R5 - Output Incentives'!$C62,2),Data!$C$14:$C$30,0),0))</f>
        <v>0.19</v>
      </c>
      <c r="L62" s="848"/>
      <c r="M62" s="849"/>
    </row>
    <row r="63" spans="1:13" s="2" customFormat="1">
      <c r="A63" s="123"/>
      <c r="B63" s="2" t="s">
        <v>206</v>
      </c>
      <c r="C63" s="736"/>
      <c r="D63" s="501">
        <f>IFERROR(D61*(1-D62),0)</f>
        <v>0.81658857446808519</v>
      </c>
      <c r="E63" s="502">
        <f t="shared" ref="E63:K63" si="20">IFERROR(E61*(1-E62),0)</f>
        <v>0.48599999999999999</v>
      </c>
      <c r="F63" s="502">
        <f t="shared" si="20"/>
        <v>0.48599999999999999</v>
      </c>
      <c r="G63" s="502">
        <f t="shared" si="20"/>
        <v>0.48599999999999999</v>
      </c>
      <c r="H63" s="502">
        <f t="shared" si="20"/>
        <v>8.3782612638481357E-2</v>
      </c>
      <c r="I63" s="502">
        <f t="shared" si="20"/>
        <v>7.3739159999999915E-2</v>
      </c>
      <c r="J63" s="502">
        <f t="shared" si="20"/>
        <v>0.22559989434601388</v>
      </c>
      <c r="K63" s="502">
        <f t="shared" si="20"/>
        <v>0.32400000000000007</v>
      </c>
      <c r="L63" s="533">
        <f>SUM(D63:INDEX(D63:K63,0,MATCH('RFPR cover'!$C$7,$D$6:$K$6,0)))</f>
        <v>2.6577102414525804</v>
      </c>
      <c r="M63" s="534">
        <f>SUM(D63:K63)</f>
        <v>2.9817102414525802</v>
      </c>
    </row>
    <row r="64" spans="1:13" s="2" customFormat="1">
      <c r="A64" s="123"/>
      <c r="B64" s="12"/>
      <c r="C64" s="745"/>
      <c r="D64" s="745"/>
      <c r="E64" s="745"/>
      <c r="F64" s="745"/>
      <c r="G64" s="745"/>
      <c r="H64" s="745"/>
      <c r="I64" s="745"/>
      <c r="J64" s="745"/>
      <c r="K64" s="745"/>
      <c r="L64" s="745"/>
      <c r="M64" s="745"/>
    </row>
    <row r="65" spans="1:14" s="2" customFormat="1">
      <c r="A65" s="123" t="str">
        <f>$A$15</f>
        <v>e</v>
      </c>
      <c r="B65" s="2" t="str">
        <f>INDEX($B$11:$B$15,MATCH($A65,$A$11:$A$15,0),0)&amp;""</f>
        <v>Losses discretionary reward scheme</v>
      </c>
      <c r="C65" s="737" t="str">
        <f>'RFPR cover'!$C$14</f>
        <v>£m 12/13</v>
      </c>
      <c r="D65" s="845">
        <f>INDEX($D$11:$K$17,MATCH($A65,$A$11:$A$17,0),0)</f>
        <v>0</v>
      </c>
      <c r="E65" s="846">
        <f t="shared" ref="E65:K65" si="21">INDEX($D$11:$K$17,MATCH($A65,$A$11:$A$17,0),0)</f>
        <v>0.38500000000000001</v>
      </c>
      <c r="F65" s="846">
        <f t="shared" si="21"/>
        <v>0</v>
      </c>
      <c r="G65" s="846">
        <f t="shared" si="21"/>
        <v>0</v>
      </c>
      <c r="H65" s="846">
        <f t="shared" si="21"/>
        <v>0</v>
      </c>
      <c r="I65" s="846">
        <f t="shared" si="21"/>
        <v>0</v>
      </c>
      <c r="J65" s="846">
        <f t="shared" si="21"/>
        <v>0</v>
      </c>
      <c r="K65" s="847">
        <f t="shared" si="21"/>
        <v>0</v>
      </c>
      <c r="L65" s="535">
        <f>SUM(D65:INDEX(D65:K65,0,MATCH('RFPR cover'!$C$7,$D$6:$K$6,0)))</f>
        <v>0.38500000000000001</v>
      </c>
      <c r="M65" s="536">
        <f>SUM(D65:K65)</f>
        <v>0.38500000000000001</v>
      </c>
    </row>
    <row r="66" spans="1:14" s="2" customFormat="1">
      <c r="A66" s="123"/>
      <c r="B66" s="2" t="s">
        <v>197</v>
      </c>
      <c r="C66" s="790" t="s">
        <v>205</v>
      </c>
      <c r="D66" s="658">
        <f>IF($C66=$B$33,$B$33,INDEX(Data!$G$14:$G$30,MATCH('R5 - Output Incentives'!D$6+RIGHT('R5 - Output Incentives'!$C66,2),Data!$C$14:$C$30,0),0))</f>
        <v>0.2</v>
      </c>
      <c r="E66" s="659">
        <f>IF($C66=$B$33,$B$33,INDEX(Data!$G$14:$G$30,MATCH('R5 - Output Incentives'!E$6+RIGHT('R5 - Output Incentives'!$C66,2),Data!$C$14:$C$30,0),0))</f>
        <v>0.19</v>
      </c>
      <c r="F66" s="659">
        <f>IF($C66=$B$33,$B$33,INDEX(Data!$G$14:$G$30,MATCH('R5 - Output Incentives'!F$6+RIGHT('R5 - Output Incentives'!$C66,2),Data!$C$14:$C$30,0),0))</f>
        <v>0.19</v>
      </c>
      <c r="G66" s="659">
        <f>IF($C66=$B$33,$B$33,INDEX(Data!$G$14:$G$30,MATCH('R5 - Output Incentives'!G$6+RIGHT('R5 - Output Incentives'!$C66,2),Data!$C$14:$C$30,0),0))</f>
        <v>0.19</v>
      </c>
      <c r="H66" s="659">
        <f>IF($C66=$B$33,$B$33,INDEX(Data!$G$14:$G$30,MATCH('R5 - Output Incentives'!H$6+RIGHT('R5 - Output Incentives'!$C66,2),Data!$C$14:$C$30,0),0))</f>
        <v>0.19</v>
      </c>
      <c r="I66" s="659">
        <f>IF($C66=$B$33,$B$33,INDEX(Data!$G$14:$G$30,MATCH('R5 - Output Incentives'!I$6+RIGHT('R5 - Output Incentives'!$C66,2),Data!$C$14:$C$30,0),0))</f>
        <v>0.19</v>
      </c>
      <c r="J66" s="659">
        <f>IF($C66=$B$33,$B$33,INDEX(Data!$G$14:$G$30,MATCH('R5 - Output Incentives'!J$6+RIGHT('R5 - Output Incentives'!$C66,2),Data!$C$14:$C$30,0),0))</f>
        <v>0.19</v>
      </c>
      <c r="K66" s="660">
        <f>IF($C66=$B$33,$B$33,INDEX(Data!$G$14:$G$30,MATCH('R5 - Output Incentives'!K$6+RIGHT('R5 - Output Incentives'!$C66,2),Data!$C$14:$C$30,0),0))</f>
        <v>0.19</v>
      </c>
      <c r="L66" s="848"/>
      <c r="M66" s="849"/>
    </row>
    <row r="67" spans="1:14" s="2" customFormat="1">
      <c r="A67" s="123"/>
      <c r="B67" s="2" t="s">
        <v>206</v>
      </c>
      <c r="C67" s="736"/>
      <c r="D67" s="501">
        <f>IFERROR(D65*(1-D66),0)</f>
        <v>0</v>
      </c>
      <c r="E67" s="502">
        <f t="shared" ref="E67:K67" si="22">IFERROR(E65*(1-E66),0)</f>
        <v>0.31185000000000002</v>
      </c>
      <c r="F67" s="502">
        <f t="shared" si="22"/>
        <v>0</v>
      </c>
      <c r="G67" s="502">
        <f t="shared" si="22"/>
        <v>0</v>
      </c>
      <c r="H67" s="502">
        <f t="shared" si="22"/>
        <v>0</v>
      </c>
      <c r="I67" s="502">
        <f t="shared" si="22"/>
        <v>0</v>
      </c>
      <c r="J67" s="502">
        <f t="shared" si="22"/>
        <v>0</v>
      </c>
      <c r="K67" s="502">
        <f t="shared" si="22"/>
        <v>0</v>
      </c>
      <c r="L67" s="533">
        <f>SUM(D67:INDEX(D67:K67,0,MATCH('RFPR cover'!$C$7,$D$6:$K$6,0)))</f>
        <v>0.31185000000000002</v>
      </c>
      <c r="M67" s="534">
        <f>SUM(D67:K67)</f>
        <v>0.31185000000000002</v>
      </c>
    </row>
    <row r="68" spans="1:14" s="2" customFormat="1">
      <c r="A68" s="123"/>
      <c r="B68" s="12"/>
      <c r="C68" s="745"/>
      <c r="D68" s="745"/>
      <c r="E68" s="745"/>
      <c r="F68" s="745"/>
      <c r="G68" s="745"/>
      <c r="H68" s="745"/>
      <c r="I68" s="745"/>
      <c r="J68" s="745"/>
      <c r="K68" s="745"/>
      <c r="L68" s="745"/>
      <c r="M68" s="745"/>
    </row>
    <row r="69" spans="1:14" s="2" customFormat="1">
      <c r="A69" s="123" t="str">
        <f>$A$16</f>
        <v>f</v>
      </c>
      <c r="B69" s="2" t="str">
        <f>INDEX($B$11:$B$17,MATCH($A69,$A$11:$A$17,0),0)&amp;""</f>
        <v/>
      </c>
      <c r="C69" s="737" t="str">
        <f>'RFPR cover'!$C$14</f>
        <v>£m 12/13</v>
      </c>
      <c r="D69" s="845">
        <f>INDEX($D$11:$K$17,MATCH($A69,$A$11:$A$17,0),0)</f>
        <v>0</v>
      </c>
      <c r="E69" s="846">
        <f t="shared" ref="E69:K69" si="23">INDEX($D$11:$K$17,MATCH($A69,$A$11:$A$17,0),0)</f>
        <v>0</v>
      </c>
      <c r="F69" s="846">
        <f t="shared" si="23"/>
        <v>0</v>
      </c>
      <c r="G69" s="846">
        <f t="shared" si="23"/>
        <v>0</v>
      </c>
      <c r="H69" s="846">
        <f t="shared" si="23"/>
        <v>0</v>
      </c>
      <c r="I69" s="846">
        <f t="shared" si="23"/>
        <v>0</v>
      </c>
      <c r="J69" s="846">
        <f t="shared" si="23"/>
        <v>0</v>
      </c>
      <c r="K69" s="847">
        <f t="shared" si="23"/>
        <v>0</v>
      </c>
      <c r="L69" s="535">
        <f>SUM(D69:INDEX(D69:K69,0,MATCH('RFPR cover'!$C$7,$D$6:$K$6,0)))</f>
        <v>0</v>
      </c>
      <c r="M69" s="536">
        <f>SUM(D69:K69)</f>
        <v>0</v>
      </c>
    </row>
    <row r="70" spans="1:14" s="2" customFormat="1">
      <c r="A70" s="123"/>
      <c r="B70" s="2" t="s">
        <v>197</v>
      </c>
      <c r="C70" s="790" t="s">
        <v>205</v>
      </c>
      <c r="D70" s="845">
        <f>IF($C70=$B$33,$B$33,INDEX(Data!$G$14:$G$30,MATCH('R5 - Output Incentives'!D$6+RIGHT('R5 - Output Incentives'!$C70,2),Data!$C$14:$C$30,0),0))</f>
        <v>0.2</v>
      </c>
      <c r="E70" s="846">
        <f>IF($C70=$B$33,$B$33,INDEX(Data!$G$14:$G$30,MATCH('R5 - Output Incentives'!E$6+RIGHT('R5 - Output Incentives'!$C70,2),Data!$C$14:$C$30,0),0))</f>
        <v>0.19</v>
      </c>
      <c r="F70" s="846">
        <f>IF($C70=$B$33,$B$33,INDEX(Data!$G$14:$G$30,MATCH('R5 - Output Incentives'!F$6+RIGHT('R5 - Output Incentives'!$C70,2),Data!$C$14:$C$30,0),0))</f>
        <v>0.19</v>
      </c>
      <c r="G70" s="846">
        <f>IF($C70=$B$33,$B$33,INDEX(Data!$G$14:$G$30,MATCH('R5 - Output Incentives'!G$6+RIGHT('R5 - Output Incentives'!$C70,2),Data!$C$14:$C$30,0),0))</f>
        <v>0.19</v>
      </c>
      <c r="H70" s="846">
        <f>IF($C70=$B$33,$B$33,INDEX(Data!$G$14:$G$30,MATCH('R5 - Output Incentives'!H$6+RIGHT('R5 - Output Incentives'!$C70,2),Data!$C$14:$C$30,0),0))</f>
        <v>0.19</v>
      </c>
      <c r="I70" s="846">
        <f>IF($C70=$B$33,$B$33,INDEX(Data!$G$14:$G$30,MATCH('R5 - Output Incentives'!I$6+RIGHT('R5 - Output Incentives'!$C70,2),Data!$C$14:$C$30,0),0))</f>
        <v>0.19</v>
      </c>
      <c r="J70" s="846">
        <f>IF($C70=$B$33,$B$33,INDEX(Data!$G$14:$G$30,MATCH('R5 - Output Incentives'!J$6+RIGHT('R5 - Output Incentives'!$C70,2),Data!$C$14:$C$30,0),0))</f>
        <v>0.19</v>
      </c>
      <c r="K70" s="847">
        <f>IF($C70=$B$33,$B$33,INDEX(Data!$G$14:$G$30,MATCH('R5 - Output Incentives'!K$6+RIGHT('R5 - Output Incentives'!$C70,2),Data!$C$14:$C$30,0),0))</f>
        <v>0.19</v>
      </c>
      <c r="L70" s="848"/>
      <c r="M70" s="849"/>
    </row>
    <row r="71" spans="1:14" s="2" customFormat="1">
      <c r="A71" s="123"/>
      <c r="B71" s="2" t="s">
        <v>206</v>
      </c>
      <c r="C71" s="736"/>
      <c r="D71" s="501">
        <f>IFERROR(D69*(1-D70),0)</f>
        <v>0</v>
      </c>
      <c r="E71" s="502">
        <f t="shared" ref="E71:K71" si="24">IFERROR(E69*(1-E70),0)</f>
        <v>0</v>
      </c>
      <c r="F71" s="502">
        <f t="shared" si="24"/>
        <v>0</v>
      </c>
      <c r="G71" s="502">
        <f t="shared" si="24"/>
        <v>0</v>
      </c>
      <c r="H71" s="502">
        <f t="shared" si="24"/>
        <v>0</v>
      </c>
      <c r="I71" s="502">
        <f t="shared" si="24"/>
        <v>0</v>
      </c>
      <c r="J71" s="502">
        <f t="shared" si="24"/>
        <v>0</v>
      </c>
      <c r="K71" s="502">
        <f t="shared" si="24"/>
        <v>0</v>
      </c>
      <c r="L71" s="533">
        <f>SUM(D71:INDEX(D71:K71,0,MATCH('RFPR cover'!$C$7,$D$6:$K$6,0)))</f>
        <v>0</v>
      </c>
      <c r="M71" s="534">
        <f>SUM(D71:K71)</f>
        <v>0</v>
      </c>
    </row>
    <row r="72" spans="1:14" s="2" customFormat="1">
      <c r="A72" s="123"/>
      <c r="B72" s="12"/>
      <c r="C72" s="745"/>
      <c r="D72" s="745"/>
      <c r="E72" s="745"/>
      <c r="F72" s="745"/>
      <c r="G72" s="745"/>
      <c r="H72" s="745"/>
      <c r="I72" s="745"/>
      <c r="J72" s="745"/>
      <c r="K72" s="745"/>
      <c r="L72" s="745"/>
      <c r="M72" s="745"/>
    </row>
    <row r="73" spans="1:14" s="2" customFormat="1">
      <c r="A73" s="123" t="s">
        <v>472</v>
      </c>
      <c r="B73" s="2" t="str">
        <f>INDEX($B$11:$B$17,MATCH($A73,$A$11:$A$17,0),0)&amp;""</f>
        <v/>
      </c>
      <c r="C73" s="737" t="str">
        <f>'RFPR cover'!$C$14</f>
        <v>£m 12/13</v>
      </c>
      <c r="D73" s="845">
        <f>INDEX($D$11:$K$17,MATCH($A73,$A$11:$A$17,0),0)</f>
        <v>0</v>
      </c>
      <c r="E73" s="846">
        <f t="shared" ref="E73:K73" si="25">INDEX($D$11:$K$17,MATCH($A73,$A$11:$A$17,0),0)</f>
        <v>0</v>
      </c>
      <c r="F73" s="846">
        <f t="shared" si="25"/>
        <v>0</v>
      </c>
      <c r="G73" s="846">
        <f t="shared" si="25"/>
        <v>0</v>
      </c>
      <c r="H73" s="846">
        <f t="shared" si="25"/>
        <v>0</v>
      </c>
      <c r="I73" s="846">
        <f t="shared" si="25"/>
        <v>0</v>
      </c>
      <c r="J73" s="846">
        <f t="shared" si="25"/>
        <v>0</v>
      </c>
      <c r="K73" s="847">
        <f t="shared" si="25"/>
        <v>0</v>
      </c>
      <c r="L73" s="535">
        <f>SUM(D73:INDEX(D73:K73,0,MATCH('RFPR cover'!$C$7,$D$6:$K$6,0)))</f>
        <v>0</v>
      </c>
      <c r="M73" s="536">
        <f>SUM(D73:K73)</f>
        <v>0</v>
      </c>
    </row>
    <row r="74" spans="1:14" s="2" customFormat="1">
      <c r="A74" s="123"/>
      <c r="B74" s="2" t="s">
        <v>197</v>
      </c>
      <c r="C74" s="790" t="s">
        <v>205</v>
      </c>
      <c r="D74" s="658">
        <f>IF($C74=$B$33,$B$33,INDEX(Data!$G$14:$G$30,MATCH('R5 - Output Incentives'!D$6+RIGHT('R5 - Output Incentives'!$C74,2),Data!$C$14:$C$30,0),0))</f>
        <v>0.2</v>
      </c>
      <c r="E74" s="659">
        <f>IF($C74=$B$33,$B$33,INDEX(Data!$G$14:$G$30,MATCH('R5 - Output Incentives'!E$6+RIGHT('R5 - Output Incentives'!$C74,2),Data!$C$14:$C$30,0),0))</f>
        <v>0.19</v>
      </c>
      <c r="F74" s="659">
        <f>IF($C74=$B$33,$B$33,INDEX(Data!$G$14:$G$30,MATCH('R5 - Output Incentives'!F$6+RIGHT('R5 - Output Incentives'!$C74,2),Data!$C$14:$C$30,0),0))</f>
        <v>0.19</v>
      </c>
      <c r="G74" s="659">
        <f>IF($C74=$B$33,$B$33,INDEX(Data!$G$14:$G$30,MATCH('R5 - Output Incentives'!G$6+RIGHT('R5 - Output Incentives'!$C74,2),Data!$C$14:$C$30,0),0))</f>
        <v>0.19</v>
      </c>
      <c r="H74" s="659">
        <f>IF($C74=$B$33,$B$33,INDEX(Data!$G$14:$G$30,MATCH('R5 - Output Incentives'!H$6+RIGHT('R5 - Output Incentives'!$C74,2),Data!$C$14:$C$30,0),0))</f>
        <v>0.19</v>
      </c>
      <c r="I74" s="659">
        <f>IF($C74=$B$33,$B$33,INDEX(Data!$G$14:$G$30,MATCH('R5 - Output Incentives'!I$6+RIGHT('R5 - Output Incentives'!$C74,2),Data!$C$14:$C$30,0),0))</f>
        <v>0.19</v>
      </c>
      <c r="J74" s="659">
        <f>IF($C74=$B$33,$B$33,INDEX(Data!$G$14:$G$30,MATCH('R5 - Output Incentives'!J$6+RIGHT('R5 - Output Incentives'!$C74,2),Data!$C$14:$C$30,0),0))</f>
        <v>0.19</v>
      </c>
      <c r="K74" s="660">
        <f>IF($C74=$B$33,$B$33,INDEX(Data!$G$14:$G$30,MATCH('R5 - Output Incentives'!K$6+RIGHT('R5 - Output Incentives'!$C74,2),Data!$C$14:$C$30,0),0))</f>
        <v>0.19</v>
      </c>
      <c r="L74" s="848"/>
      <c r="M74" s="849"/>
    </row>
    <row r="75" spans="1:14" s="2" customFormat="1">
      <c r="A75" s="123"/>
      <c r="B75" s="2" t="s">
        <v>206</v>
      </c>
      <c r="C75" s="736"/>
      <c r="D75" s="501">
        <f>IFERROR(D73*(1-D74),0)</f>
        <v>0</v>
      </c>
      <c r="E75" s="502">
        <f t="shared" ref="E75:K75" si="26">IFERROR(E73*(1-E74),0)</f>
        <v>0</v>
      </c>
      <c r="F75" s="502">
        <f t="shared" si="26"/>
        <v>0</v>
      </c>
      <c r="G75" s="502">
        <f t="shared" si="26"/>
        <v>0</v>
      </c>
      <c r="H75" s="502">
        <f t="shared" si="26"/>
        <v>0</v>
      </c>
      <c r="I75" s="502">
        <f t="shared" si="26"/>
        <v>0</v>
      </c>
      <c r="J75" s="502">
        <f t="shared" si="26"/>
        <v>0</v>
      </c>
      <c r="K75" s="502">
        <f t="shared" si="26"/>
        <v>0</v>
      </c>
      <c r="L75" s="533">
        <f>SUM(D75:INDEX(D75:K75,0,MATCH('RFPR cover'!$C$7,$D$6:$K$6,0)))</f>
        <v>0</v>
      </c>
      <c r="M75" s="534">
        <f>SUM(D75:K75)</f>
        <v>0</v>
      </c>
    </row>
    <row r="76" spans="1:14" s="439" customFormat="1" ht="14.25" customHeight="1">
      <c r="A76" s="438"/>
      <c r="C76" s="791"/>
      <c r="D76" s="792"/>
      <c r="E76" s="792"/>
      <c r="F76" s="792"/>
      <c r="G76" s="792"/>
      <c r="H76" s="792"/>
      <c r="I76" s="792"/>
      <c r="J76" s="792"/>
      <c r="K76" s="792"/>
      <c r="L76" s="440"/>
      <c r="M76" s="440"/>
    </row>
    <row r="77" spans="1:14" s="2" customFormat="1">
      <c r="B77" s="98" t="s">
        <v>389</v>
      </c>
      <c r="C77" s="119"/>
      <c r="D77" s="108"/>
      <c r="E77" s="108"/>
      <c r="F77" s="108"/>
      <c r="G77" s="108"/>
      <c r="H77" s="108"/>
      <c r="I77" s="108"/>
      <c r="J77" s="108"/>
      <c r="K77" s="108"/>
      <c r="L77" s="63"/>
      <c r="M77" s="63"/>
      <c r="N77" s="63"/>
    </row>
    <row r="78" spans="1:14" s="2" customFormat="1">
      <c r="B78" s="300" t="s">
        <v>388</v>
      </c>
      <c r="C78" s="232"/>
      <c r="D78" s="233"/>
      <c r="E78" s="233"/>
      <c r="F78" s="233"/>
      <c r="G78" s="233"/>
      <c r="H78" s="233"/>
      <c r="I78" s="233"/>
      <c r="J78" s="233"/>
      <c r="K78" s="233"/>
      <c r="L78" s="234"/>
      <c r="M78" s="234"/>
      <c r="N78" s="234"/>
    </row>
    <row r="79" spans="1:14" s="2" customFormat="1">
      <c r="B79" s="300" t="s">
        <v>390</v>
      </c>
      <c r="C79" s="232"/>
      <c r="D79" s="233"/>
      <c r="E79" s="233"/>
      <c r="F79" s="233"/>
      <c r="G79" s="233"/>
      <c r="H79" s="233"/>
      <c r="I79" s="233"/>
      <c r="J79" s="233"/>
      <c r="K79" s="233"/>
      <c r="L79" s="234"/>
      <c r="M79" s="234"/>
      <c r="N79" s="234"/>
    </row>
    <row r="80" spans="1:14" s="439" customFormat="1">
      <c r="B80" s="441"/>
      <c r="C80" s="442"/>
      <c r="D80" s="443"/>
      <c r="E80" s="443"/>
      <c r="F80" s="443"/>
      <c r="G80" s="443"/>
      <c r="H80" s="443"/>
      <c r="I80" s="443"/>
      <c r="J80" s="443"/>
      <c r="K80" s="443"/>
    </row>
    <row r="81" spans="1:12" s="2" customFormat="1">
      <c r="B81" s="12"/>
      <c r="C81" s="444" t="s">
        <v>391</v>
      </c>
      <c r="D81" s="793" t="str">
        <f t="shared" ref="D81:E81" si="27">IF($C50=$B$33,D$6,IF(D$6-RIGHT($C50,1)&lt;$D$6,"Pre-RIIO",D$6-RIGHT($C50,1)))</f>
        <v>Pre-RIIO</v>
      </c>
      <c r="E81" s="794" t="str">
        <f t="shared" si="27"/>
        <v>Pre-RIIO</v>
      </c>
      <c r="F81" s="794">
        <f t="shared" ref="F81:K81" si="28">IF($C50=$B$33,F$6,IF(F$6-RIGHT($C50,1)&lt;$D$6,"Pre-RIIO",F$6-RIGHT($C50,1)))</f>
        <v>2016</v>
      </c>
      <c r="G81" s="794">
        <f t="shared" si="28"/>
        <v>2017</v>
      </c>
      <c r="H81" s="794">
        <f t="shared" si="28"/>
        <v>2018</v>
      </c>
      <c r="I81" s="794">
        <f t="shared" si="28"/>
        <v>2019</v>
      </c>
      <c r="J81" s="794">
        <f t="shared" si="28"/>
        <v>2020</v>
      </c>
      <c r="K81" s="795">
        <f t="shared" si="28"/>
        <v>2021</v>
      </c>
    </row>
    <row r="82" spans="1:12" s="2" customFormat="1">
      <c r="A82" s="3" t="str">
        <f>A11</f>
        <v>a</v>
      </c>
      <c r="B82" s="106" t="str">
        <f>B11&amp;""</f>
        <v>Broad measure of customer service</v>
      </c>
      <c r="C82" s="109" t="s">
        <v>125</v>
      </c>
      <c r="D82" s="508">
        <v>0.47673179999999987</v>
      </c>
      <c r="E82" s="509">
        <v>-4.141102499999999E-2</v>
      </c>
      <c r="F82" s="509">
        <v>3.286239693062226</v>
      </c>
      <c r="G82" s="509">
        <v>3.547670765873097</v>
      </c>
      <c r="H82" s="509">
        <v>3.2561219218963977</v>
      </c>
      <c r="I82" s="509">
        <v>4.9089255081230228</v>
      </c>
      <c r="J82" s="509">
        <v>5.1898023827526316</v>
      </c>
      <c r="K82" s="510">
        <v>5.3441189945846528</v>
      </c>
    </row>
    <row r="83" spans="1:12" s="2" customFormat="1">
      <c r="A83" s="3"/>
      <c r="B83" s="106"/>
      <c r="C83" s="109"/>
      <c r="D83" s="109"/>
      <c r="E83" s="109"/>
      <c r="F83" s="109"/>
      <c r="G83" s="109"/>
      <c r="H83" s="109"/>
      <c r="I83" s="109"/>
      <c r="J83" s="109"/>
      <c r="K83" s="109"/>
      <c r="L83" s="109"/>
    </row>
    <row r="84" spans="1:12" s="2" customFormat="1">
      <c r="A84" s="3"/>
      <c r="B84" s="106"/>
      <c r="C84" s="444" t="s">
        <v>391</v>
      </c>
      <c r="D84" s="793" t="str">
        <f t="shared" ref="D84:K84" si="29">IF($C54=$B$33,D$6,IF(D$6-RIGHT($C54,1)&lt;$D$6,"Pre-RIIO",D$6-RIGHT($C54,1)))</f>
        <v>Pre-RIIO</v>
      </c>
      <c r="E84" s="794" t="str">
        <f t="shared" si="29"/>
        <v>Pre-RIIO</v>
      </c>
      <c r="F84" s="794">
        <f t="shared" si="29"/>
        <v>2016</v>
      </c>
      <c r="G84" s="794">
        <f t="shared" si="29"/>
        <v>2017</v>
      </c>
      <c r="H84" s="794">
        <f t="shared" si="29"/>
        <v>2018</v>
      </c>
      <c r="I84" s="794">
        <f t="shared" si="29"/>
        <v>2019</v>
      </c>
      <c r="J84" s="794">
        <f t="shared" si="29"/>
        <v>2020</v>
      </c>
      <c r="K84" s="795">
        <f t="shared" si="29"/>
        <v>2021</v>
      </c>
    </row>
    <row r="85" spans="1:12" s="2" customFormat="1">
      <c r="A85" s="3" t="str">
        <f>A12</f>
        <v>b</v>
      </c>
      <c r="B85" s="106" t="str">
        <f>B12&amp;""</f>
        <v>Interruptions-related quality of service</v>
      </c>
      <c r="C85" s="109" t="s">
        <v>125</v>
      </c>
      <c r="D85" s="508">
        <v>4.2198844499999995</v>
      </c>
      <c r="E85" s="509">
        <v>7.2034982999999979</v>
      </c>
      <c r="F85" s="509">
        <v>6.9493722284399873</v>
      </c>
      <c r="G85" s="509">
        <v>3.1975512120987921</v>
      </c>
      <c r="H85" s="509">
        <v>5.8619429669429604</v>
      </c>
      <c r="I85" s="509">
        <v>2.4398113939629442</v>
      </c>
      <c r="J85" s="509">
        <v>2.9927937677714582</v>
      </c>
      <c r="K85" s="510">
        <v>1.9523635110167297</v>
      </c>
    </row>
    <row r="86" spans="1:12" s="2" customFormat="1">
      <c r="A86" s="3"/>
      <c r="B86" s="106"/>
      <c r="C86" s="109"/>
      <c r="D86" s="109"/>
      <c r="E86" s="109"/>
      <c r="F86" s="109"/>
      <c r="G86" s="109"/>
      <c r="H86" s="109"/>
      <c r="I86" s="109"/>
      <c r="J86" s="109"/>
      <c r="K86" s="109"/>
      <c r="L86" s="109"/>
    </row>
    <row r="87" spans="1:12" s="2" customFormat="1">
      <c r="A87" s="3"/>
      <c r="B87" s="106"/>
      <c r="C87" s="444" t="s">
        <v>391</v>
      </c>
      <c r="D87" s="793" t="str">
        <f t="shared" ref="D87:K87" si="30">IF($C58=$B$33,D$6,IF(D$6-RIGHT($C58,1)&lt;$D$6,"Pre-RIIO",D$6-RIGHT($C58,1)))</f>
        <v>Pre-RIIO</v>
      </c>
      <c r="E87" s="794" t="str">
        <f t="shared" si="30"/>
        <v>Pre-RIIO</v>
      </c>
      <c r="F87" s="794" t="str">
        <f t="shared" si="30"/>
        <v>Pre-RIIO</v>
      </c>
      <c r="G87" s="794">
        <f t="shared" si="30"/>
        <v>2016</v>
      </c>
      <c r="H87" s="794">
        <f t="shared" si="30"/>
        <v>2017</v>
      </c>
      <c r="I87" s="794">
        <f t="shared" si="30"/>
        <v>2018</v>
      </c>
      <c r="J87" s="794">
        <f t="shared" si="30"/>
        <v>2019</v>
      </c>
      <c r="K87" s="795">
        <f t="shared" si="30"/>
        <v>2020</v>
      </c>
    </row>
    <row r="88" spans="1:12" s="2" customFormat="1">
      <c r="A88" s="3" t="str">
        <f>A13</f>
        <v>c</v>
      </c>
      <c r="B88" s="106" t="str">
        <f>B13&amp;""</f>
        <v>Incentive on connections engagement</v>
      </c>
      <c r="C88" s="109" t="s">
        <v>125</v>
      </c>
      <c r="D88" s="508">
        <v>0</v>
      </c>
      <c r="E88" s="509">
        <v>0</v>
      </c>
      <c r="F88" s="509">
        <v>0</v>
      </c>
      <c r="G88" s="509">
        <v>0</v>
      </c>
      <c r="H88" s="509">
        <v>0</v>
      </c>
      <c r="I88" s="509">
        <v>0</v>
      </c>
      <c r="J88" s="509">
        <v>0</v>
      </c>
      <c r="K88" s="510">
        <v>0</v>
      </c>
    </row>
    <row r="89" spans="1:12" s="2" customFormat="1">
      <c r="A89" s="3"/>
      <c r="B89" s="106"/>
      <c r="C89" s="109"/>
      <c r="D89" s="109"/>
      <c r="E89" s="109"/>
      <c r="F89" s="109"/>
      <c r="G89" s="109"/>
      <c r="H89" s="109"/>
      <c r="I89" s="109"/>
      <c r="J89" s="109"/>
      <c r="K89" s="109"/>
      <c r="L89" s="109"/>
    </row>
    <row r="90" spans="1:12" s="2" customFormat="1">
      <c r="A90" s="3"/>
      <c r="B90" s="106"/>
      <c r="C90" s="444" t="s">
        <v>391</v>
      </c>
      <c r="D90" s="793" t="str">
        <f t="shared" ref="D90:K90" si="31">IF($C62=$B$33,D$6,IF(D$6-RIGHT($C62,1)&lt;$D$6,"Pre-RIIO",D$6-RIGHT($C62,1)))</f>
        <v>Pre-RIIO</v>
      </c>
      <c r="E90" s="794" t="str">
        <f t="shared" si="31"/>
        <v>Pre-RIIO</v>
      </c>
      <c r="F90" s="794">
        <f t="shared" si="31"/>
        <v>2016</v>
      </c>
      <c r="G90" s="794">
        <f t="shared" si="31"/>
        <v>2017</v>
      </c>
      <c r="H90" s="794">
        <f t="shared" si="31"/>
        <v>2018</v>
      </c>
      <c r="I90" s="794">
        <f t="shared" si="31"/>
        <v>2019</v>
      </c>
      <c r="J90" s="794">
        <f t="shared" si="31"/>
        <v>2020</v>
      </c>
      <c r="K90" s="795">
        <f t="shared" si="31"/>
        <v>2021</v>
      </c>
    </row>
    <row r="91" spans="1:12" s="2" customFormat="1">
      <c r="A91" s="3" t="str">
        <f>A14</f>
        <v>d</v>
      </c>
      <c r="B91" s="106" t="str">
        <f>B14&amp;""</f>
        <v>Time to Connect Incentive</v>
      </c>
      <c r="C91" s="109" t="s">
        <v>125</v>
      </c>
      <c r="D91" s="508">
        <v>0</v>
      </c>
      <c r="E91" s="509">
        <v>0</v>
      </c>
      <c r="F91" s="509">
        <v>1.0689414082423709</v>
      </c>
      <c r="G91" s="509">
        <v>0.64982200878716667</v>
      </c>
      <c r="H91" s="509">
        <v>0.67413834678655349</v>
      </c>
      <c r="I91" s="509">
        <v>0.69473710023500557</v>
      </c>
      <c r="J91" s="509">
        <v>0.12286767961265573</v>
      </c>
      <c r="K91" s="510">
        <v>0.10945044247266769</v>
      </c>
    </row>
    <row r="92" spans="1:12" s="2" customFormat="1">
      <c r="A92" s="3"/>
      <c r="B92" s="106"/>
      <c r="C92" s="109"/>
      <c r="D92" s="109"/>
      <c r="E92" s="109"/>
      <c r="F92" s="109"/>
      <c r="G92" s="109"/>
      <c r="H92" s="109"/>
      <c r="I92" s="109"/>
      <c r="J92" s="109"/>
      <c r="K92" s="109"/>
      <c r="L92" s="109"/>
    </row>
    <row r="93" spans="1:12" s="2" customFormat="1">
      <c r="A93" s="3"/>
      <c r="B93" s="106"/>
      <c r="C93" s="444" t="s">
        <v>391</v>
      </c>
      <c r="D93" s="793" t="str">
        <f>IF($C66=$B$33,D$6,IF(D$6-RIGHT($C66,1)&lt;$D$6,"Pre-RIIO",D$6-RIGHT($C66,1)))</f>
        <v>Pre-RIIO</v>
      </c>
      <c r="E93" s="794">
        <f t="shared" ref="E93:K93" si="32">IF($C66=$B$33,E$6,IF(E$6-RIGHT($C66,1)&lt;$D$6,"Pre-RIIO",E$6-RIGHT($C66,1)))</f>
        <v>2016</v>
      </c>
      <c r="F93" s="794">
        <f t="shared" si="32"/>
        <v>2017</v>
      </c>
      <c r="G93" s="794">
        <f t="shared" si="32"/>
        <v>2018</v>
      </c>
      <c r="H93" s="794">
        <f t="shared" si="32"/>
        <v>2019</v>
      </c>
      <c r="I93" s="794">
        <f t="shared" si="32"/>
        <v>2020</v>
      </c>
      <c r="J93" s="794">
        <f t="shared" si="32"/>
        <v>2021</v>
      </c>
      <c r="K93" s="795">
        <f t="shared" si="32"/>
        <v>2022</v>
      </c>
    </row>
    <row r="94" spans="1:12" s="2" customFormat="1">
      <c r="A94" s="3" t="str">
        <f>A15</f>
        <v>e</v>
      </c>
      <c r="B94" s="106" t="str">
        <f>B15&amp;""</f>
        <v>Losses discretionary reward scheme</v>
      </c>
      <c r="C94" s="109" t="s">
        <v>125</v>
      </c>
      <c r="D94" s="508">
        <v>0</v>
      </c>
      <c r="E94" s="509">
        <v>0</v>
      </c>
      <c r="F94" s="509">
        <v>0.431585</v>
      </c>
      <c r="G94" s="509">
        <v>0</v>
      </c>
      <c r="H94" s="509">
        <v>0</v>
      </c>
      <c r="I94" s="509">
        <v>0</v>
      </c>
      <c r="J94" s="509">
        <v>0</v>
      </c>
      <c r="K94" s="510">
        <v>0</v>
      </c>
    </row>
    <row r="95" spans="1:12" s="2" customFormat="1">
      <c r="A95" s="3"/>
      <c r="B95" s="106"/>
      <c r="C95" s="109"/>
      <c r="D95" s="109"/>
      <c r="E95" s="109"/>
      <c r="F95" s="109"/>
      <c r="G95" s="109"/>
      <c r="H95" s="109"/>
      <c r="I95" s="109"/>
      <c r="J95" s="109"/>
      <c r="K95" s="109"/>
      <c r="L95" s="109"/>
    </row>
    <row r="96" spans="1:12" s="2" customFormat="1">
      <c r="A96" s="3"/>
      <c r="B96" s="106"/>
      <c r="C96" s="444" t="s">
        <v>391</v>
      </c>
      <c r="D96" s="793" t="str">
        <f>IF($C70=$B$33,D$6,IF(D$6-RIGHT($C70,1)&lt;$D$6,"Pre-RIIO",D$6-RIGHT($C70,1)))</f>
        <v>Pre-RIIO</v>
      </c>
      <c r="E96" s="793">
        <f t="shared" ref="E96:K96" si="33">IF($C70=$B$33,E$6,IF(E$6-RIGHT($C70,1)&lt;$D$6,"Pre-RIIO",E$6-RIGHT($C70,1)))</f>
        <v>2016</v>
      </c>
      <c r="F96" s="793">
        <f t="shared" si="33"/>
        <v>2017</v>
      </c>
      <c r="G96" s="793">
        <f t="shared" si="33"/>
        <v>2018</v>
      </c>
      <c r="H96" s="793">
        <f t="shared" si="33"/>
        <v>2019</v>
      </c>
      <c r="I96" s="793">
        <f t="shared" si="33"/>
        <v>2020</v>
      </c>
      <c r="J96" s="793">
        <f t="shared" si="33"/>
        <v>2021</v>
      </c>
      <c r="K96" s="793">
        <f t="shared" si="33"/>
        <v>2022</v>
      </c>
    </row>
    <row r="97" spans="1:13" s="2" customFormat="1">
      <c r="A97" s="3" t="str">
        <f>A16</f>
        <v>f</v>
      </c>
      <c r="B97" s="106" t="str">
        <f>B16&amp;""</f>
        <v/>
      </c>
      <c r="C97" s="109" t="s">
        <v>125</v>
      </c>
      <c r="D97" s="508">
        <v>0</v>
      </c>
      <c r="E97" s="509">
        <v>0</v>
      </c>
      <c r="F97" s="509">
        <v>0</v>
      </c>
      <c r="G97" s="509">
        <v>0</v>
      </c>
      <c r="H97" s="509">
        <v>0</v>
      </c>
      <c r="I97" s="509">
        <v>0</v>
      </c>
      <c r="J97" s="509">
        <v>0</v>
      </c>
      <c r="K97" s="510">
        <v>0</v>
      </c>
    </row>
    <row r="98" spans="1:13" s="2" customFormat="1">
      <c r="A98" s="3"/>
      <c r="B98" s="106"/>
      <c r="C98" s="109"/>
      <c r="D98" s="109"/>
      <c r="E98" s="109"/>
      <c r="F98" s="109"/>
      <c r="G98" s="109"/>
      <c r="H98" s="109"/>
      <c r="I98" s="109"/>
      <c r="J98" s="109"/>
      <c r="K98" s="109"/>
      <c r="L98" s="109"/>
    </row>
    <row r="99" spans="1:13" s="2" customFormat="1">
      <c r="A99" s="3"/>
      <c r="B99" s="106"/>
      <c r="C99" s="444" t="s">
        <v>391</v>
      </c>
      <c r="D99" s="793" t="str">
        <f>IF($C74=$B$33,D$6,IF(D$6-RIGHT($C74,1)&lt;$D$6,"Pre-RIIO",D$6-RIGHT($C74,1)))</f>
        <v>Pre-RIIO</v>
      </c>
      <c r="E99" s="793">
        <f t="shared" ref="E99:K99" si="34">IF($C74=$B$33,E$6,IF(E$6-RIGHT($C74,1)&lt;$D$6,"Pre-RIIO",E$6-RIGHT($C74,1)))</f>
        <v>2016</v>
      </c>
      <c r="F99" s="793">
        <f t="shared" si="34"/>
        <v>2017</v>
      </c>
      <c r="G99" s="793">
        <f t="shared" si="34"/>
        <v>2018</v>
      </c>
      <c r="H99" s="793">
        <f t="shared" si="34"/>
        <v>2019</v>
      </c>
      <c r="I99" s="793">
        <f t="shared" si="34"/>
        <v>2020</v>
      </c>
      <c r="J99" s="793">
        <f t="shared" si="34"/>
        <v>2021</v>
      </c>
      <c r="K99" s="793">
        <f t="shared" si="34"/>
        <v>2022</v>
      </c>
    </row>
    <row r="100" spans="1:13" s="2" customFormat="1">
      <c r="A100" s="3" t="str">
        <f>A17</f>
        <v>g</v>
      </c>
      <c r="B100" s="106" t="str">
        <f>B17&amp;""</f>
        <v/>
      </c>
      <c r="C100" s="109" t="s">
        <v>125</v>
      </c>
      <c r="D100" s="508">
        <v>0</v>
      </c>
      <c r="E100" s="509">
        <v>0</v>
      </c>
      <c r="F100" s="509">
        <v>0</v>
      </c>
      <c r="G100" s="509">
        <v>0</v>
      </c>
      <c r="H100" s="509">
        <v>0</v>
      </c>
      <c r="I100" s="509">
        <v>0</v>
      </c>
      <c r="J100" s="509">
        <v>0</v>
      </c>
      <c r="K100" s="510">
        <v>0</v>
      </c>
    </row>
    <row r="101" spans="1:13" s="2" customFormat="1">
      <c r="A101" s="3"/>
      <c r="B101" s="106"/>
      <c r="C101" s="109"/>
      <c r="D101" s="109"/>
      <c r="E101" s="109"/>
      <c r="F101" s="109"/>
      <c r="G101" s="109"/>
      <c r="H101" s="109"/>
      <c r="I101" s="109"/>
      <c r="J101" s="109"/>
      <c r="K101" s="109"/>
      <c r="L101" s="109"/>
      <c r="M101" s="109"/>
    </row>
    <row r="102" spans="1:13" s="2" customFormat="1">
      <c r="B102" s="12" t="s">
        <v>154</v>
      </c>
      <c r="C102" s="122" t="s">
        <v>125</v>
      </c>
      <c r="D102" s="501">
        <f>SUM(D82,D85,D88,D91,D94,D97,D100)</f>
        <v>4.696616249999999</v>
      </c>
      <c r="E102" s="501">
        <f t="shared" ref="E102:K102" si="35">SUM(E82,E85,E88,E91,E94,E97,E100)</f>
        <v>7.1620872749999975</v>
      </c>
      <c r="F102" s="501">
        <f t="shared" si="35"/>
        <v>11.736138329744584</v>
      </c>
      <c r="G102" s="501">
        <f t="shared" si="35"/>
        <v>7.3950439867590561</v>
      </c>
      <c r="H102" s="502">
        <f>SUM(H82,H85,H88,H91,H94,H97,H100)</f>
        <v>9.7922032356259123</v>
      </c>
      <c r="I102" s="502">
        <f t="shared" si="35"/>
        <v>8.0434740023209734</v>
      </c>
      <c r="J102" s="502">
        <f t="shared" si="35"/>
        <v>8.3054638301367447</v>
      </c>
      <c r="K102" s="503">
        <f t="shared" si="35"/>
        <v>7.4059329480740503</v>
      </c>
    </row>
    <row r="103" spans="1:13" s="2" customFormat="1">
      <c r="C103" s="109"/>
    </row>
    <row r="104" spans="1:13" s="2" customFormat="1">
      <c r="B104" s="12" t="s">
        <v>366</v>
      </c>
      <c r="C104" s="745"/>
      <c r="D104" s="745"/>
      <c r="E104" s="745"/>
      <c r="F104" s="745"/>
      <c r="G104" s="745"/>
      <c r="H104" s="745"/>
      <c r="I104" s="745"/>
      <c r="J104" s="745"/>
      <c r="K104" s="745"/>
      <c r="L104" s="745"/>
      <c r="M104" s="745"/>
    </row>
    <row r="105" spans="1:13" s="2" customFormat="1">
      <c r="A105" s="3" t="str">
        <f>A82</f>
        <v>a</v>
      </c>
      <c r="B105" s="981" t="s">
        <v>602</v>
      </c>
      <c r="C105" s="981"/>
      <c r="D105" s="981"/>
      <c r="E105" s="981"/>
      <c r="F105" s="981"/>
      <c r="G105" s="981"/>
      <c r="H105" s="981"/>
      <c r="I105" s="981"/>
      <c r="J105" s="981"/>
      <c r="K105" s="981"/>
      <c r="L105" s="981"/>
      <c r="M105" s="981"/>
    </row>
    <row r="106" spans="1:13" s="2" customFormat="1">
      <c r="A106" s="3" t="str">
        <f>A85</f>
        <v>b</v>
      </c>
      <c r="B106" s="981"/>
      <c r="C106" s="981"/>
      <c r="D106" s="981"/>
      <c r="E106" s="981"/>
      <c r="F106" s="981"/>
      <c r="G106" s="981"/>
      <c r="H106" s="981"/>
      <c r="I106" s="981"/>
      <c r="J106" s="981"/>
      <c r="K106" s="981"/>
      <c r="L106" s="981"/>
      <c r="M106" s="981"/>
    </row>
    <row r="107" spans="1:13" s="2" customFormat="1">
      <c r="A107" s="3" t="str">
        <f>A88</f>
        <v>c</v>
      </c>
      <c r="B107" s="981" t="s">
        <v>603</v>
      </c>
      <c r="C107" s="981"/>
      <c r="D107" s="981"/>
      <c r="E107" s="981"/>
      <c r="F107" s="981"/>
      <c r="G107" s="981"/>
      <c r="H107" s="981"/>
      <c r="I107" s="981"/>
      <c r="J107" s="981"/>
      <c r="K107" s="981"/>
      <c r="L107" s="981"/>
      <c r="M107" s="981"/>
    </row>
    <row r="108" spans="1:13" s="2" customFormat="1">
      <c r="A108" s="3" t="str">
        <f>A91</f>
        <v>d</v>
      </c>
      <c r="B108" s="981"/>
      <c r="C108" s="981"/>
      <c r="D108" s="981"/>
      <c r="E108" s="981"/>
      <c r="F108" s="981"/>
      <c r="G108" s="981"/>
      <c r="H108" s="981"/>
      <c r="I108" s="981"/>
      <c r="J108" s="981"/>
      <c r="K108" s="981"/>
      <c r="L108" s="981"/>
      <c r="M108" s="981"/>
    </row>
    <row r="109" spans="1:13" s="2" customFormat="1">
      <c r="A109" s="3" t="str">
        <f>A94</f>
        <v>e</v>
      </c>
      <c r="B109" s="981" t="s">
        <v>604</v>
      </c>
      <c r="C109" s="981"/>
      <c r="D109" s="981"/>
      <c r="E109" s="981"/>
      <c r="F109" s="981"/>
      <c r="G109" s="981"/>
      <c r="H109" s="981"/>
      <c r="I109" s="981"/>
      <c r="J109" s="981"/>
      <c r="K109" s="981"/>
      <c r="L109" s="981"/>
      <c r="M109" s="981"/>
    </row>
    <row r="110" spans="1:13" s="2" customFormat="1">
      <c r="A110" s="3" t="str">
        <f>A97</f>
        <v>f</v>
      </c>
      <c r="B110" s="981"/>
      <c r="C110" s="981"/>
      <c r="D110" s="981"/>
      <c r="E110" s="981"/>
      <c r="F110" s="981"/>
      <c r="G110" s="981"/>
      <c r="H110" s="981"/>
      <c r="I110" s="981"/>
      <c r="J110" s="981"/>
      <c r="K110" s="981"/>
      <c r="L110" s="981"/>
      <c r="M110" s="981"/>
    </row>
    <row r="111" spans="1:13" s="2" customFormat="1">
      <c r="A111" s="3" t="str">
        <f>A100</f>
        <v>g</v>
      </c>
      <c r="B111" s="981"/>
      <c r="C111" s="981"/>
      <c r="D111" s="981"/>
      <c r="E111" s="981"/>
      <c r="F111" s="981"/>
      <c r="G111" s="981"/>
      <c r="H111" s="981"/>
      <c r="I111" s="981"/>
      <c r="J111" s="981"/>
      <c r="K111" s="981"/>
      <c r="L111" s="981"/>
      <c r="M111" s="981"/>
    </row>
    <row r="112" spans="1:13" s="439" customFormat="1">
      <c r="A112" s="438"/>
      <c r="C112" s="791"/>
      <c r="D112" s="792"/>
      <c r="E112" s="792"/>
      <c r="F112" s="792"/>
      <c r="G112" s="792"/>
      <c r="H112" s="792"/>
      <c r="I112" s="792"/>
      <c r="J112" s="792"/>
      <c r="K112" s="792"/>
      <c r="L112" s="440"/>
      <c r="M112" s="440"/>
    </row>
    <row r="113" spans="1:14" s="439" customFormat="1">
      <c r="A113" s="438"/>
      <c r="C113" s="791"/>
      <c r="D113" s="791"/>
      <c r="E113" s="791"/>
      <c r="F113" s="791"/>
      <c r="G113" s="791"/>
      <c r="H113" s="791"/>
      <c r="I113" s="791"/>
      <c r="J113" s="791"/>
      <c r="K113" s="791"/>
      <c r="L113" s="791"/>
      <c r="M113" s="791"/>
    </row>
    <row r="114" spans="1:14" s="2" customFormat="1">
      <c r="A114" s="63"/>
      <c r="B114" s="63"/>
      <c r="C114" s="119"/>
      <c r="D114" s="63"/>
      <c r="E114" s="63"/>
      <c r="F114" s="63"/>
      <c r="G114" s="63"/>
      <c r="H114" s="63"/>
      <c r="I114" s="63"/>
      <c r="J114" s="63"/>
      <c r="K114" s="63"/>
      <c r="L114" s="63"/>
      <c r="M114" s="63"/>
      <c r="N114" s="63"/>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72" priority="2">
      <formula>AND(D$5="Actuals",E$5="Forecast")</formula>
    </cfRule>
  </conditionalFormatting>
  <conditionalFormatting sqref="D5:K5">
    <cfRule type="expression" dxfId="71" priority="1">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88D3FE8A-D0DE-43AB-9B4B-88339A34A61E}">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headerFooter>
    <oddFooter>&amp;C&amp;1#&amp;"Calibri"&amp;12&amp;K008000Internal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9.625" customWidth="1"/>
    <col min="3" max="3" width="14.125" style="109" customWidth="1"/>
    <col min="4" max="11" width="11.125" customWidth="1"/>
    <col min="12" max="12" width="5" customWidth="1"/>
  </cols>
  <sheetData>
    <row r="1" spans="1:12" ht="20.25">
      <c r="A1" s="698" t="s">
        <v>97</v>
      </c>
      <c r="B1" s="681"/>
      <c r="C1" s="220"/>
      <c r="D1" s="209"/>
      <c r="E1" s="209"/>
      <c r="F1" s="209"/>
      <c r="G1" s="209"/>
      <c r="H1" s="209"/>
      <c r="I1" s="699"/>
      <c r="J1" s="699"/>
      <c r="K1" s="700"/>
      <c r="L1" s="701"/>
    </row>
    <row r="2" spans="1:12" ht="20.25">
      <c r="A2" s="674" t="str">
        <f>'RFPR cover'!C5</f>
        <v>SPMW</v>
      </c>
      <c r="B2" s="702"/>
      <c r="C2" s="755"/>
      <c r="D2" s="703"/>
      <c r="E2" s="703"/>
      <c r="F2" s="703"/>
      <c r="G2" s="703"/>
      <c r="H2" s="703"/>
      <c r="I2" s="704"/>
      <c r="J2" s="704"/>
      <c r="K2" s="704"/>
      <c r="L2" s="705"/>
    </row>
    <row r="3" spans="1:12" ht="23.25">
      <c r="A3" s="677">
        <f>'RFPR cover'!C7</f>
        <v>2022</v>
      </c>
      <c r="B3" s="706" t="str">
        <f>'R1 - RoRE'!B3</f>
        <v/>
      </c>
      <c r="C3" s="222"/>
      <c r="D3" s="221"/>
      <c r="E3" s="221"/>
      <c r="F3" s="221"/>
      <c r="G3" s="221"/>
      <c r="H3" s="221"/>
      <c r="I3" s="707"/>
      <c r="J3" s="707"/>
      <c r="K3" s="707"/>
      <c r="L3" s="708"/>
    </row>
    <row r="4" spans="1:12" s="2" customFormat="1" ht="12.75" customHeight="1">
      <c r="C4" s="109"/>
    </row>
    <row r="5" spans="1:12" s="2" customFormat="1">
      <c r="B5" s="3"/>
      <c r="C5" s="109"/>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row>
    <row r="6" spans="1:12" s="2" customFormat="1">
      <c r="C6" s="109"/>
      <c r="D6" s="99">
        <f>'RFPR cover'!$C$13</f>
        <v>2016</v>
      </c>
      <c r="E6" s="100">
        <f>D6+1</f>
        <v>2017</v>
      </c>
      <c r="F6" s="100">
        <f t="shared" ref="F6:K6" si="0">E6+1</f>
        <v>2018</v>
      </c>
      <c r="G6" s="100">
        <f t="shared" si="0"/>
        <v>2019</v>
      </c>
      <c r="H6" s="100">
        <f t="shared" si="0"/>
        <v>2020</v>
      </c>
      <c r="I6" s="100">
        <f t="shared" si="0"/>
        <v>2021</v>
      </c>
      <c r="J6" s="100">
        <f t="shared" si="0"/>
        <v>2022</v>
      </c>
      <c r="K6" s="100">
        <f t="shared" si="0"/>
        <v>2023</v>
      </c>
    </row>
    <row r="7" spans="1:12" s="2" customFormat="1">
      <c r="C7" s="109"/>
    </row>
    <row r="8" spans="1:12" s="2" customFormat="1">
      <c r="B8" s="12" t="s">
        <v>131</v>
      </c>
      <c r="C8" s="122"/>
      <c r="D8" s="42"/>
      <c r="E8" s="42"/>
      <c r="F8" s="42"/>
      <c r="G8" s="42"/>
      <c r="H8" s="42"/>
      <c r="I8" s="42"/>
      <c r="J8" s="42"/>
      <c r="K8" s="42"/>
    </row>
    <row r="9" spans="1:12" s="2" customFormat="1">
      <c r="B9" s="106" t="s">
        <v>509</v>
      </c>
      <c r="C9" s="121" t="s">
        <v>125</v>
      </c>
      <c r="D9" s="492">
        <v>1.609637251015867</v>
      </c>
      <c r="E9" s="493">
        <v>1.592995728024702</v>
      </c>
      <c r="F9" s="493">
        <v>1.4406169370769308</v>
      </c>
      <c r="G9" s="493">
        <v>1.5066522177844504</v>
      </c>
      <c r="H9" s="493">
        <v>1.7864643528152178</v>
      </c>
      <c r="I9" s="493">
        <v>1.9975438725975112</v>
      </c>
      <c r="J9" s="493">
        <v>2.1045330044823221</v>
      </c>
      <c r="K9" s="499">
        <v>1.512</v>
      </c>
    </row>
    <row r="10" spans="1:12" s="2" customFormat="1">
      <c r="B10" s="106" t="s">
        <v>491</v>
      </c>
      <c r="C10" s="121" t="s">
        <v>125</v>
      </c>
      <c r="D10" s="494">
        <v>0</v>
      </c>
      <c r="E10" s="495">
        <v>0</v>
      </c>
      <c r="F10" s="495">
        <v>0</v>
      </c>
      <c r="G10" s="495">
        <v>0</v>
      </c>
      <c r="H10" s="495">
        <v>0</v>
      </c>
      <c r="I10" s="495">
        <v>0</v>
      </c>
      <c r="J10" s="495">
        <v>0</v>
      </c>
      <c r="K10" s="500">
        <v>0</v>
      </c>
    </row>
    <row r="11" spans="1:12" s="2" customFormat="1">
      <c r="B11" s="106" t="s">
        <v>508</v>
      </c>
      <c r="C11" s="121" t="s">
        <v>125</v>
      </c>
      <c r="D11" s="834">
        <v>0.15270628161020738</v>
      </c>
      <c r="E11" s="835">
        <v>0.15075280840747007</v>
      </c>
      <c r="F11" s="835">
        <v>0.13531169370769303</v>
      </c>
      <c r="G11" s="835">
        <v>0.15066522177844499</v>
      </c>
      <c r="H11" s="835">
        <v>0.1786464352815218</v>
      </c>
      <c r="I11" s="835">
        <v>0.19975438725975114</v>
      </c>
      <c r="J11" s="835">
        <v>0.21221891163041939</v>
      </c>
      <c r="K11" s="504">
        <v>0.1512</v>
      </c>
    </row>
    <row r="12" spans="1:12" s="12" customFormat="1">
      <c r="B12" s="12" t="s">
        <v>129</v>
      </c>
      <c r="C12" s="121" t="s">
        <v>125</v>
      </c>
      <c r="D12" s="501">
        <f>D9-D10-D11</f>
        <v>1.4569309694056596</v>
      </c>
      <c r="E12" s="502">
        <f t="shared" ref="E12:K12" si="1">E9-E10-E11</f>
        <v>1.4422429196172319</v>
      </c>
      <c r="F12" s="502">
        <f t="shared" si="1"/>
        <v>1.3053052433692378</v>
      </c>
      <c r="G12" s="502">
        <f t="shared" si="1"/>
        <v>1.3559869960060054</v>
      </c>
      <c r="H12" s="502">
        <f t="shared" si="1"/>
        <v>1.607817917533696</v>
      </c>
      <c r="I12" s="502">
        <f t="shared" si="1"/>
        <v>1.7977894853377601</v>
      </c>
      <c r="J12" s="502">
        <f t="shared" si="1"/>
        <v>1.8923140928519027</v>
      </c>
      <c r="K12" s="503">
        <f t="shared" si="1"/>
        <v>1.3608</v>
      </c>
      <c r="L12" s="2"/>
    </row>
    <row r="13" spans="1:12" s="12" customFormat="1">
      <c r="C13" s="109"/>
      <c r="D13" s="42"/>
      <c r="E13" s="42"/>
      <c r="F13" s="42"/>
      <c r="G13" s="42"/>
      <c r="H13" s="42"/>
      <c r="I13" s="42"/>
      <c r="J13" s="42"/>
      <c r="K13" s="42"/>
      <c r="L13" s="2"/>
    </row>
    <row r="14" spans="1:12" s="2" customFormat="1">
      <c r="B14" s="12" t="s">
        <v>152</v>
      </c>
      <c r="C14" s="122"/>
      <c r="D14" s="42"/>
      <c r="E14" s="42"/>
      <c r="F14" s="42"/>
      <c r="G14" s="42"/>
      <c r="H14" s="42"/>
      <c r="I14" s="42"/>
      <c r="J14" s="42"/>
      <c r="K14" s="42"/>
    </row>
    <row r="15" spans="1:12" s="2" customFormat="1" ht="13.15" customHeight="1">
      <c r="B15" s="106" t="s">
        <v>511</v>
      </c>
      <c r="C15" s="121" t="s">
        <v>125</v>
      </c>
      <c r="D15" s="492">
        <v>1.0369999999999999</v>
      </c>
      <c r="E15" s="493">
        <v>5.5E-2</v>
      </c>
      <c r="F15" s="493">
        <v>0.159</v>
      </c>
      <c r="G15" s="493">
        <v>0.432</v>
      </c>
      <c r="H15" s="493">
        <v>5.9173440000000001E-2</v>
      </c>
      <c r="I15" s="493">
        <v>-0.159</v>
      </c>
      <c r="J15" s="493">
        <v>3.5000000000000003E-2</v>
      </c>
      <c r="K15" s="499">
        <v>-0.16524950999999999</v>
      </c>
    </row>
    <row r="16" spans="1:12" s="2" customFormat="1">
      <c r="B16" s="106" t="s">
        <v>510</v>
      </c>
      <c r="C16" s="121" t="s">
        <v>125</v>
      </c>
      <c r="D16" s="834">
        <v>0</v>
      </c>
      <c r="E16" s="835">
        <v>0</v>
      </c>
      <c r="F16" s="835">
        <v>0</v>
      </c>
      <c r="G16" s="835">
        <v>0</v>
      </c>
      <c r="H16" s="835">
        <v>0</v>
      </c>
      <c r="I16" s="835">
        <v>0</v>
      </c>
      <c r="J16" s="835">
        <v>0</v>
      </c>
      <c r="K16" s="504">
        <v>0</v>
      </c>
    </row>
    <row r="17" spans="2:12" s="12" customFormat="1">
      <c r="B17" s="12" t="s">
        <v>130</v>
      </c>
      <c r="C17" s="121" t="s">
        <v>125</v>
      </c>
      <c r="D17" s="501">
        <f>D15-D16</f>
        <v>1.0369999999999999</v>
      </c>
      <c r="E17" s="502">
        <f t="shared" ref="E17:K17" si="2">E15-E16</f>
        <v>5.5E-2</v>
      </c>
      <c r="F17" s="502">
        <f t="shared" si="2"/>
        <v>0.159</v>
      </c>
      <c r="G17" s="502">
        <f t="shared" si="2"/>
        <v>0.432</v>
      </c>
      <c r="H17" s="502">
        <f t="shared" si="2"/>
        <v>5.9173440000000001E-2</v>
      </c>
      <c r="I17" s="502">
        <f t="shared" si="2"/>
        <v>-0.159</v>
      </c>
      <c r="J17" s="502">
        <f t="shared" si="2"/>
        <v>3.5000000000000003E-2</v>
      </c>
      <c r="K17" s="502">
        <f t="shared" si="2"/>
        <v>-0.16524950999999999</v>
      </c>
      <c r="L17" s="2"/>
    </row>
    <row r="18" spans="2:12" s="12" customFormat="1">
      <c r="C18" s="109"/>
      <c r="D18" s="42"/>
      <c r="E18" s="42"/>
      <c r="F18" s="42"/>
      <c r="G18" s="42"/>
      <c r="H18" s="42"/>
      <c r="I18" s="42"/>
      <c r="J18" s="42"/>
      <c r="K18" s="42"/>
      <c r="L18" s="2"/>
    </row>
    <row r="19" spans="2:12" s="2" customFormat="1">
      <c r="B19" s="12" t="s">
        <v>153</v>
      </c>
      <c r="C19" s="122"/>
      <c r="D19" s="42"/>
      <c r="E19" s="42"/>
      <c r="F19" s="42"/>
      <c r="G19" s="42"/>
      <c r="H19" s="42"/>
      <c r="I19" s="42"/>
      <c r="J19" s="42"/>
      <c r="K19" s="42"/>
    </row>
    <row r="20" spans="2:12" s="2" customFormat="1">
      <c r="B20" s="106" t="s">
        <v>440</v>
      </c>
      <c r="C20" s="121" t="s">
        <v>125</v>
      </c>
      <c r="D20" s="492">
        <v>13.121436210000001</v>
      </c>
      <c r="E20" s="493">
        <v>0</v>
      </c>
      <c r="F20" s="493">
        <v>7.2900614299999997</v>
      </c>
      <c r="G20" s="493">
        <v>6.85</v>
      </c>
      <c r="H20" s="493">
        <v>0</v>
      </c>
      <c r="I20" s="493">
        <v>0</v>
      </c>
      <c r="J20" s="493">
        <v>0</v>
      </c>
      <c r="K20" s="499">
        <v>0</v>
      </c>
    </row>
    <row r="21" spans="2:12" s="2" customFormat="1">
      <c r="B21" s="106" t="s">
        <v>508</v>
      </c>
      <c r="C21" s="121" t="s">
        <v>125</v>
      </c>
      <c r="D21" s="834">
        <v>1.48389057</v>
      </c>
      <c r="E21" s="835">
        <v>0</v>
      </c>
      <c r="F21" s="835">
        <v>0.82415976999999996</v>
      </c>
      <c r="G21" s="835">
        <v>0.77200000000000002</v>
      </c>
      <c r="H21" s="835">
        <v>0</v>
      </c>
      <c r="I21" s="835">
        <v>0</v>
      </c>
      <c r="J21" s="835">
        <v>0</v>
      </c>
      <c r="K21" s="504">
        <v>0</v>
      </c>
    </row>
    <row r="22" spans="2:12" s="2" customFormat="1">
      <c r="C22" s="109"/>
    </row>
    <row r="23" spans="2:12" s="2" customFormat="1">
      <c r="B23" s="106" t="s">
        <v>494</v>
      </c>
      <c r="C23" s="121" t="s">
        <v>125</v>
      </c>
      <c r="D23" s="508">
        <v>0</v>
      </c>
      <c r="E23" s="509">
        <v>0</v>
      </c>
      <c r="F23" s="509">
        <v>0</v>
      </c>
      <c r="G23" s="509">
        <v>0</v>
      </c>
      <c r="H23" s="509">
        <v>0</v>
      </c>
      <c r="I23" s="509">
        <v>0</v>
      </c>
      <c r="J23" s="509">
        <v>0</v>
      </c>
      <c r="K23" s="510">
        <v>0</v>
      </c>
    </row>
    <row r="24" spans="2:12" s="2" customFormat="1">
      <c r="C24" s="109"/>
    </row>
    <row r="25" spans="2:12" s="2" customFormat="1">
      <c r="B25" s="63"/>
      <c r="C25" s="119"/>
      <c r="D25" s="63"/>
      <c r="E25" s="63"/>
      <c r="F25" s="63"/>
      <c r="G25" s="63"/>
      <c r="H25" s="63"/>
      <c r="I25" s="63"/>
      <c r="J25" s="63"/>
      <c r="K25" s="63"/>
      <c r="L25" s="63"/>
    </row>
    <row r="26" spans="2:12" s="2" customFormat="1">
      <c r="C26" s="109"/>
    </row>
    <row r="27" spans="2:12" s="2" customFormat="1">
      <c r="B27" s="12" t="s">
        <v>386</v>
      </c>
      <c r="C27" s="109"/>
    </row>
    <row r="28" spans="2:12" s="2" customFormat="1">
      <c r="B28" s="106" t="s">
        <v>492</v>
      </c>
      <c r="C28" s="737" t="str">
        <f>'RFPR cover'!$C$14</f>
        <v>£m 12/13</v>
      </c>
      <c r="D28" s="577">
        <f>(SUM(D10,D11,D21)-D23)/Data!C34</f>
        <v>1.5434980695120804</v>
      </c>
      <c r="E28" s="578">
        <f>(SUM(E10,E11,E21)-E23)/Data!D34</f>
        <v>0.13919455454163801</v>
      </c>
      <c r="F28" s="578">
        <f>(SUM(F10,F11,F21)-F23)/Data!E34</f>
        <v>0.85395361496456923</v>
      </c>
      <c r="G28" s="578">
        <f>(SUM(G10,G11,G21)-G23)/Data!F34</f>
        <v>0.79684694092168606</v>
      </c>
      <c r="H28" s="578">
        <f>(SUM(H10,H11,H21)-H23)/Data!G34</f>
        <v>0.15039229207239954</v>
      </c>
      <c r="I28" s="578">
        <f>(SUM(I10,I11,I21)-I23)/Data!H34</f>
        <v>0.16614698482531312</v>
      </c>
      <c r="J28" s="578">
        <f>(SUM(J10,J11,J21)-J23)/Data!I34</f>
        <v>0.16687537064144045</v>
      </c>
      <c r="K28" s="579">
        <f>(SUM(K10,K11,K21)-K23)/Data!J34</f>
        <v>0.10978209010964081</v>
      </c>
    </row>
  </sheetData>
  <conditionalFormatting sqref="D6:K6">
    <cfRule type="expression" dxfId="70" priority="2">
      <formula>AND(D$5="Actuals",E$5="Forecast")</formula>
    </cfRule>
  </conditionalFormatting>
  <conditionalFormatting sqref="D5:K5">
    <cfRule type="expression" dxfId="69" priority="1">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10"/>
  <sheetViews>
    <sheetView showGridLines="0" zoomScale="79" zoomScaleNormal="55" workbookViewId="0">
      <pane ySplit="6" topLeftCell="A7" activePane="bottomLeft" state="frozen"/>
      <selection activeCell="B75" sqref="A1:XFD104857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ht="20.25">
      <c r="A1" s="698" t="s">
        <v>260</v>
      </c>
      <c r="B1" s="681"/>
      <c r="C1" s="209"/>
      <c r="D1" s="209"/>
      <c r="E1" s="209"/>
      <c r="F1" s="209"/>
      <c r="G1" s="209"/>
      <c r="H1" s="209"/>
      <c r="I1" s="699"/>
      <c r="J1" s="699"/>
      <c r="K1" s="700"/>
      <c r="L1" s="700"/>
      <c r="M1" s="700"/>
      <c r="N1" s="701"/>
    </row>
    <row r="2" spans="1:14" ht="20.25">
      <c r="A2" s="674" t="str">
        <f>'RFPR cover'!C5</f>
        <v>SPMW</v>
      </c>
      <c r="B2" s="702"/>
      <c r="C2" s="703"/>
      <c r="D2" s="703"/>
      <c r="E2" s="703"/>
      <c r="F2" s="703"/>
      <c r="G2" s="703"/>
      <c r="H2" s="703"/>
      <c r="I2" s="704"/>
      <c r="J2" s="704"/>
      <c r="K2" s="704"/>
      <c r="L2" s="704"/>
      <c r="M2" s="704"/>
      <c r="N2" s="705"/>
    </row>
    <row r="3" spans="1:14" ht="23.25">
      <c r="A3" s="677">
        <f>'RFPR cover'!C7</f>
        <v>2022</v>
      </c>
      <c r="B3" s="706" t="str">
        <f>'R1 - RoRE'!B3</f>
        <v/>
      </c>
      <c r="C3" s="212"/>
      <c r="D3" s="212"/>
      <c r="E3" s="212"/>
      <c r="F3" s="212"/>
      <c r="G3" s="212"/>
      <c r="H3" s="212"/>
      <c r="I3" s="707"/>
      <c r="J3" s="707"/>
      <c r="K3" s="707"/>
      <c r="L3" s="707"/>
      <c r="M3" s="707"/>
      <c r="N3" s="708"/>
    </row>
    <row r="4" spans="1:14" ht="12.75" customHeight="1">
      <c r="A4" s="714"/>
      <c r="B4" s="714"/>
      <c r="C4" s="714"/>
      <c r="D4" s="714"/>
      <c r="E4" s="714"/>
      <c r="F4" s="714"/>
      <c r="G4" s="714"/>
      <c r="H4" s="714"/>
      <c r="I4" s="715"/>
      <c r="J4" s="715"/>
      <c r="K4" s="715"/>
      <c r="L4" s="716"/>
    </row>
    <row r="5" spans="1:14" s="2" customFormat="1">
      <c r="B5" s="3"/>
      <c r="C5" s="3"/>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row>
    <row r="6" spans="1:14" s="2" customFormat="1" ht="25.5">
      <c r="D6" s="99">
        <f>'RFPR cover'!$C$13</f>
        <v>2016</v>
      </c>
      <c r="E6" s="100">
        <f>D6+1</f>
        <v>2017</v>
      </c>
      <c r="F6" s="100">
        <f t="shared" ref="F6:K6" si="0">E6+1</f>
        <v>2018</v>
      </c>
      <c r="G6" s="100">
        <f t="shared" si="0"/>
        <v>2019</v>
      </c>
      <c r="H6" s="100">
        <f t="shared" si="0"/>
        <v>2020</v>
      </c>
      <c r="I6" s="100">
        <f t="shared" si="0"/>
        <v>2021</v>
      </c>
      <c r="J6" s="100">
        <f t="shared" si="0"/>
        <v>2022</v>
      </c>
      <c r="K6" s="157">
        <f t="shared" si="0"/>
        <v>2023</v>
      </c>
      <c r="L6" s="84" t="str">
        <f>"Cumulative to "&amp;'RFPR cover'!$C$7</f>
        <v>Cumulative to 2022</v>
      </c>
      <c r="M6" s="223" t="s">
        <v>106</v>
      </c>
    </row>
    <row r="7" spans="1:14" s="2" customFormat="1"/>
    <row r="8" spans="1:14">
      <c r="B8" s="738" t="s">
        <v>298</v>
      </c>
      <c r="C8" s="121" t="s">
        <v>125</v>
      </c>
      <c r="D8" s="287">
        <v>41.399999999999991</v>
      </c>
      <c r="E8" s="313">
        <v>41.1</v>
      </c>
      <c r="F8" s="313">
        <v>40.199999999999989</v>
      </c>
      <c r="G8" s="313">
        <v>40.175030369999995</v>
      </c>
      <c r="H8" s="313">
        <v>42.162094950000011</v>
      </c>
      <c r="I8" s="313">
        <v>38.366691130000007</v>
      </c>
      <c r="J8" s="313">
        <v>35.706089280000015</v>
      </c>
      <c r="K8" s="314">
        <v>46.718342327076854</v>
      </c>
      <c r="L8" s="2"/>
      <c r="M8" s="2"/>
    </row>
    <row r="9" spans="1:14">
      <c r="B9" s="13"/>
      <c r="C9" s="121"/>
      <c r="D9" s="739"/>
      <c r="E9" s="739"/>
      <c r="F9" s="739"/>
      <c r="G9" s="739"/>
      <c r="H9" s="739"/>
      <c r="I9" s="739"/>
      <c r="J9" s="739"/>
      <c r="K9" s="739"/>
      <c r="L9" s="2"/>
      <c r="M9" s="2"/>
    </row>
    <row r="10" spans="1:14">
      <c r="B10" s="13" t="s">
        <v>470</v>
      </c>
      <c r="C10" s="15"/>
      <c r="D10" s="740"/>
      <c r="E10" s="740"/>
      <c r="F10" s="740"/>
      <c r="G10" s="740"/>
      <c r="H10" s="740"/>
      <c r="I10" s="740"/>
      <c r="J10" s="740"/>
      <c r="K10" s="740"/>
      <c r="L10" s="2"/>
      <c r="M10" s="2"/>
    </row>
    <row r="11" spans="1:14">
      <c r="B11" s="719" t="s">
        <v>12</v>
      </c>
      <c r="C11" s="121" t="s">
        <v>125</v>
      </c>
      <c r="D11" s="305">
        <v>0</v>
      </c>
      <c r="E11" s="306">
        <v>0</v>
      </c>
      <c r="F11" s="306">
        <v>0</v>
      </c>
      <c r="G11" s="306">
        <v>0</v>
      </c>
      <c r="H11" s="306">
        <v>0</v>
      </c>
      <c r="I11" s="306">
        <v>0</v>
      </c>
      <c r="J11" s="306">
        <v>0</v>
      </c>
      <c r="K11" s="310">
        <v>0</v>
      </c>
      <c r="L11" s="2"/>
      <c r="M11" s="2"/>
    </row>
    <row r="12" spans="1:14">
      <c r="B12" s="719" t="s">
        <v>13</v>
      </c>
      <c r="C12" s="121" t="s">
        <v>125</v>
      </c>
      <c r="D12" s="286">
        <v>0</v>
      </c>
      <c r="E12" s="307">
        <v>0</v>
      </c>
      <c r="F12" s="307">
        <v>0</v>
      </c>
      <c r="G12" s="307">
        <v>0</v>
      </c>
      <c r="H12" s="307">
        <v>0</v>
      </c>
      <c r="I12" s="307">
        <v>0</v>
      </c>
      <c r="J12" s="307">
        <v>0</v>
      </c>
      <c r="K12" s="311">
        <v>0</v>
      </c>
      <c r="L12" s="2"/>
      <c r="M12" s="2"/>
    </row>
    <row r="13" spans="1:14">
      <c r="B13" s="719" t="s">
        <v>14</v>
      </c>
      <c r="C13" s="121" t="s">
        <v>125</v>
      </c>
      <c r="D13" s="286">
        <v>0</v>
      </c>
      <c r="E13" s="307">
        <v>0</v>
      </c>
      <c r="F13" s="307">
        <v>0</v>
      </c>
      <c r="G13" s="307">
        <v>0</v>
      </c>
      <c r="H13" s="307">
        <v>0</v>
      </c>
      <c r="I13" s="307">
        <v>0</v>
      </c>
      <c r="J13" s="307">
        <v>0</v>
      </c>
      <c r="K13" s="311">
        <v>0</v>
      </c>
      <c r="L13" s="2"/>
      <c r="M13" s="2"/>
    </row>
    <row r="14" spans="1:14">
      <c r="B14" s="719" t="s">
        <v>15</v>
      </c>
      <c r="C14" s="121" t="s">
        <v>125</v>
      </c>
      <c r="D14" s="286">
        <v>0</v>
      </c>
      <c r="E14" s="307">
        <v>0</v>
      </c>
      <c r="F14" s="307">
        <v>0</v>
      </c>
      <c r="G14" s="307">
        <v>0</v>
      </c>
      <c r="H14" s="307">
        <v>0</v>
      </c>
      <c r="I14" s="307">
        <v>0</v>
      </c>
      <c r="J14" s="307">
        <v>0</v>
      </c>
      <c r="K14" s="311">
        <v>0</v>
      </c>
      <c r="L14" s="2"/>
      <c r="M14" s="2"/>
    </row>
    <row r="15" spans="1:14">
      <c r="B15" s="719" t="s">
        <v>16</v>
      </c>
      <c r="C15" s="121" t="s">
        <v>125</v>
      </c>
      <c r="D15" s="286">
        <v>0</v>
      </c>
      <c r="E15" s="307">
        <v>0</v>
      </c>
      <c r="F15" s="307">
        <v>0</v>
      </c>
      <c r="G15" s="307">
        <v>0</v>
      </c>
      <c r="H15" s="307">
        <v>0</v>
      </c>
      <c r="I15" s="307">
        <v>0</v>
      </c>
      <c r="J15" s="307">
        <v>0</v>
      </c>
      <c r="K15" s="311">
        <v>0</v>
      </c>
      <c r="L15" s="2"/>
      <c r="M15" s="2"/>
    </row>
    <row r="16" spans="1:14">
      <c r="B16" s="719" t="s">
        <v>17</v>
      </c>
      <c r="C16" s="121" t="s">
        <v>125</v>
      </c>
      <c r="D16" s="286">
        <v>0</v>
      </c>
      <c r="E16" s="307">
        <v>0</v>
      </c>
      <c r="F16" s="307">
        <v>0</v>
      </c>
      <c r="G16" s="307">
        <v>0</v>
      </c>
      <c r="H16" s="307">
        <v>0</v>
      </c>
      <c r="I16" s="307">
        <v>0</v>
      </c>
      <c r="J16" s="307">
        <v>0</v>
      </c>
      <c r="K16" s="311">
        <v>0</v>
      </c>
      <c r="L16" s="2"/>
    </row>
    <row r="17" spans="2:12">
      <c r="B17" s="719" t="s">
        <v>277</v>
      </c>
      <c r="C17" s="121" t="s">
        <v>125</v>
      </c>
      <c r="D17" s="286">
        <v>0</v>
      </c>
      <c r="E17" s="307">
        <v>0</v>
      </c>
      <c r="F17" s="307">
        <v>0</v>
      </c>
      <c r="G17" s="307">
        <v>0</v>
      </c>
      <c r="H17" s="307">
        <v>0</v>
      </c>
      <c r="I17" s="307">
        <v>0</v>
      </c>
      <c r="J17" s="307">
        <v>0</v>
      </c>
      <c r="K17" s="311">
        <v>0</v>
      </c>
      <c r="L17" s="2"/>
    </row>
    <row r="18" spans="2:12" ht="12.75" customHeight="1">
      <c r="B18" s="719" t="s">
        <v>18</v>
      </c>
      <c r="C18" s="121" t="s">
        <v>125</v>
      </c>
      <c r="D18" s="286">
        <v>0</v>
      </c>
      <c r="E18" s="307">
        <v>0</v>
      </c>
      <c r="F18" s="307">
        <v>0</v>
      </c>
      <c r="G18" s="307">
        <v>0</v>
      </c>
      <c r="H18" s="307">
        <v>0</v>
      </c>
      <c r="I18" s="307">
        <v>0</v>
      </c>
      <c r="J18" s="307">
        <v>0</v>
      </c>
      <c r="K18" s="311">
        <v>0</v>
      </c>
      <c r="L18" s="2"/>
    </row>
    <row r="19" spans="2:12">
      <c r="B19" s="719" t="s">
        <v>628</v>
      </c>
      <c r="C19" s="121" t="s">
        <v>125</v>
      </c>
      <c r="D19" s="286">
        <v>0</v>
      </c>
      <c r="E19" s="307">
        <v>0</v>
      </c>
      <c r="F19" s="307">
        <v>0</v>
      </c>
      <c r="G19" s="307">
        <v>0</v>
      </c>
      <c r="H19" s="307">
        <v>0</v>
      </c>
      <c r="I19" s="307">
        <v>0</v>
      </c>
      <c r="J19" s="307">
        <v>0</v>
      </c>
      <c r="K19" s="311">
        <v>0</v>
      </c>
      <c r="L19" s="2"/>
    </row>
    <row r="20" spans="2:12">
      <c r="B20" s="719" t="s">
        <v>629</v>
      </c>
      <c r="C20" s="121" t="s">
        <v>125</v>
      </c>
      <c r="D20" s="286">
        <v>0</v>
      </c>
      <c r="E20" s="307">
        <v>0</v>
      </c>
      <c r="F20" s="307">
        <v>0</v>
      </c>
      <c r="G20" s="307">
        <v>0</v>
      </c>
      <c r="H20" s="307">
        <v>0</v>
      </c>
      <c r="I20" s="307">
        <v>0</v>
      </c>
      <c r="J20" s="307">
        <v>0</v>
      </c>
      <c r="K20" s="311">
        <v>0</v>
      </c>
      <c r="L20" s="2"/>
    </row>
    <row r="21" spans="2:12">
      <c r="B21" s="719" t="s">
        <v>630</v>
      </c>
      <c r="C21" s="121" t="s">
        <v>125</v>
      </c>
      <c r="D21" s="286">
        <v>0</v>
      </c>
      <c r="E21" s="307">
        <v>0</v>
      </c>
      <c r="F21" s="307">
        <v>0</v>
      </c>
      <c r="G21" s="307">
        <v>0</v>
      </c>
      <c r="H21" s="307">
        <v>0</v>
      </c>
      <c r="I21" s="307">
        <v>0</v>
      </c>
      <c r="J21" s="307">
        <v>0</v>
      </c>
      <c r="K21" s="311">
        <v>0</v>
      </c>
      <c r="L21" s="2"/>
    </row>
    <row r="22" spans="2:12">
      <c r="B22" s="719" t="s">
        <v>631</v>
      </c>
      <c r="C22" s="121" t="s">
        <v>125</v>
      </c>
      <c r="D22" s="286">
        <v>0</v>
      </c>
      <c r="E22" s="307">
        <v>0</v>
      </c>
      <c r="F22" s="307">
        <v>0</v>
      </c>
      <c r="G22" s="307">
        <v>0</v>
      </c>
      <c r="H22" s="307">
        <v>0</v>
      </c>
      <c r="I22" s="307">
        <v>0</v>
      </c>
      <c r="J22" s="307">
        <v>0</v>
      </c>
      <c r="K22" s="311">
        <v>0</v>
      </c>
      <c r="L22" s="2"/>
    </row>
    <row r="23" spans="2:12">
      <c r="B23" s="719" t="s">
        <v>632</v>
      </c>
      <c r="C23" s="121" t="s">
        <v>125</v>
      </c>
      <c r="D23" s="286">
        <v>0</v>
      </c>
      <c r="E23" s="307">
        <v>0</v>
      </c>
      <c r="F23" s="307">
        <v>0</v>
      </c>
      <c r="G23" s="307">
        <v>0</v>
      </c>
      <c r="H23" s="307">
        <v>0</v>
      </c>
      <c r="I23" s="307">
        <v>0</v>
      </c>
      <c r="J23" s="307">
        <v>0</v>
      </c>
      <c r="K23" s="311">
        <v>0</v>
      </c>
      <c r="L23" s="2"/>
    </row>
    <row r="24" spans="2:12">
      <c r="B24" s="719" t="s">
        <v>633</v>
      </c>
      <c r="C24" s="121" t="s">
        <v>125</v>
      </c>
      <c r="D24" s="286">
        <v>0</v>
      </c>
      <c r="E24" s="307">
        <v>0</v>
      </c>
      <c r="F24" s="307">
        <v>0</v>
      </c>
      <c r="G24" s="307">
        <v>0</v>
      </c>
      <c r="H24" s="307">
        <v>0</v>
      </c>
      <c r="I24" s="307">
        <v>0</v>
      </c>
      <c r="J24" s="307">
        <v>0</v>
      </c>
      <c r="K24" s="311">
        <v>0</v>
      </c>
      <c r="L24" s="2"/>
    </row>
    <row r="25" spans="2:12">
      <c r="B25" s="719" t="s">
        <v>634</v>
      </c>
      <c r="C25" s="121" t="s">
        <v>125</v>
      </c>
      <c r="D25" s="286">
        <v>0</v>
      </c>
      <c r="E25" s="307">
        <v>0</v>
      </c>
      <c r="F25" s="307">
        <v>0</v>
      </c>
      <c r="G25" s="307">
        <v>0</v>
      </c>
      <c r="H25" s="307">
        <v>0</v>
      </c>
      <c r="I25" s="307">
        <v>0</v>
      </c>
      <c r="J25" s="307">
        <v>0</v>
      </c>
      <c r="K25" s="311">
        <v>0</v>
      </c>
      <c r="L25" s="2"/>
    </row>
    <row r="26" spans="2:12">
      <c r="B26" s="719" t="s">
        <v>635</v>
      </c>
      <c r="C26" s="121" t="s">
        <v>125</v>
      </c>
      <c r="D26" s="286">
        <v>0</v>
      </c>
      <c r="E26" s="307">
        <v>0</v>
      </c>
      <c r="F26" s="307">
        <v>0</v>
      </c>
      <c r="G26" s="307">
        <v>0</v>
      </c>
      <c r="H26" s="307">
        <v>0</v>
      </c>
      <c r="I26" s="307">
        <v>0</v>
      </c>
      <c r="J26" s="307">
        <v>0</v>
      </c>
      <c r="K26" s="311">
        <v>0</v>
      </c>
      <c r="L26" s="2"/>
    </row>
    <row r="27" spans="2:12">
      <c r="B27" s="719" t="s">
        <v>636</v>
      </c>
      <c r="C27" s="121" t="s">
        <v>125</v>
      </c>
      <c r="D27" s="308">
        <v>0</v>
      </c>
      <c r="E27" s="309">
        <v>0</v>
      </c>
      <c r="F27" s="309">
        <v>0</v>
      </c>
      <c r="G27" s="309">
        <v>0</v>
      </c>
      <c r="H27" s="309">
        <v>0</v>
      </c>
      <c r="I27" s="309">
        <v>0</v>
      </c>
      <c r="J27" s="309">
        <v>0</v>
      </c>
      <c r="K27" s="312">
        <v>0</v>
      </c>
      <c r="L27" s="2"/>
    </row>
    <row r="28" spans="2:12">
      <c r="B28" s="720" t="s">
        <v>19</v>
      </c>
      <c r="C28" s="121" t="s">
        <v>125</v>
      </c>
      <c r="D28" s="113">
        <f t="shared" ref="D28:K28" si="1">SUM(D8,D11:D27)</f>
        <v>41.399999999999991</v>
      </c>
      <c r="E28" s="114">
        <f t="shared" si="1"/>
        <v>41.1</v>
      </c>
      <c r="F28" s="114">
        <f t="shared" si="1"/>
        <v>40.199999999999989</v>
      </c>
      <c r="G28" s="114">
        <f t="shared" si="1"/>
        <v>40.175030369999995</v>
      </c>
      <c r="H28" s="114">
        <f t="shared" si="1"/>
        <v>42.162094950000011</v>
      </c>
      <c r="I28" s="114">
        <f t="shared" si="1"/>
        <v>38.366691130000007</v>
      </c>
      <c r="J28" s="114">
        <f t="shared" si="1"/>
        <v>35.706089280000015</v>
      </c>
      <c r="K28" s="115">
        <f t="shared" si="1"/>
        <v>46.718342327076854</v>
      </c>
      <c r="L28" s="2"/>
    </row>
    <row r="29" spans="2:12">
      <c r="B29" s="721" t="s">
        <v>531</v>
      </c>
      <c r="C29" s="121" t="s">
        <v>125</v>
      </c>
      <c r="D29" s="741"/>
      <c r="E29" s="742"/>
      <c r="F29" s="742"/>
      <c r="G29" s="743"/>
      <c r="H29" s="743"/>
      <c r="I29" s="743"/>
      <c r="J29" s="743"/>
      <c r="K29" s="484">
        <v>3.4235278675341791</v>
      </c>
      <c r="L29" s="2"/>
    </row>
    <row r="30" spans="2:12">
      <c r="B30" s="720" t="s">
        <v>299</v>
      </c>
      <c r="C30" s="121" t="s">
        <v>125</v>
      </c>
      <c r="D30" s="850">
        <f>SUM(D28:D29)</f>
        <v>41.399999999999991</v>
      </c>
      <c r="E30" s="851">
        <f t="shared" ref="E30:K30" si="2">SUM(E28:E29)</f>
        <v>41.1</v>
      </c>
      <c r="F30" s="851">
        <f t="shared" si="2"/>
        <v>40.199999999999989</v>
      </c>
      <c r="G30" s="851">
        <f t="shared" si="2"/>
        <v>40.175030369999995</v>
      </c>
      <c r="H30" s="851">
        <f t="shared" si="2"/>
        <v>42.162094950000011</v>
      </c>
      <c r="I30" s="851">
        <f t="shared" si="2"/>
        <v>38.366691130000007</v>
      </c>
      <c r="J30" s="851">
        <f t="shared" si="2"/>
        <v>35.706089280000015</v>
      </c>
      <c r="K30" s="852">
        <f t="shared" si="2"/>
        <v>50.14187019461103</v>
      </c>
    </row>
    <row r="31" spans="2:12">
      <c r="B31" s="174" t="s">
        <v>20</v>
      </c>
      <c r="C31" s="121" t="s">
        <v>125</v>
      </c>
      <c r="D31" s="480">
        <v>17.412293179999999</v>
      </c>
      <c r="E31" s="481">
        <v>17.367734150000004</v>
      </c>
      <c r="F31" s="481">
        <v>17.389975660000001</v>
      </c>
      <c r="G31" s="481">
        <v>17.390249109999999</v>
      </c>
      <c r="H31" s="481">
        <v>17.41339017000001</v>
      </c>
      <c r="I31" s="481">
        <v>17.36882910000001</v>
      </c>
      <c r="J31" s="481">
        <v>17.391071580000009</v>
      </c>
      <c r="K31" s="853">
        <v>17.391071580000009</v>
      </c>
    </row>
    <row r="32" spans="2:12">
      <c r="B32" s="174" t="s">
        <v>464</v>
      </c>
      <c r="C32" s="121" t="s">
        <v>125</v>
      </c>
      <c r="D32" s="854">
        <v>23.987706819999993</v>
      </c>
      <c r="E32" s="855">
        <v>23.732265849999997</v>
      </c>
      <c r="F32" s="855">
        <v>22.810024339999988</v>
      </c>
      <c r="G32" s="855">
        <v>22.784781259999995</v>
      </c>
      <c r="H32" s="855">
        <v>24.748704780000001</v>
      </c>
      <c r="I32" s="855">
        <v>20.948345199999995</v>
      </c>
      <c r="J32" s="855">
        <v>18.315017700000006</v>
      </c>
      <c r="K32" s="856">
        <v>32.750798614611021</v>
      </c>
    </row>
    <row r="33" spans="2:14">
      <c r="B33" s="174"/>
      <c r="D33" s="725" t="str">
        <f>IF(ABS(D30-SUM(D31:D32))&lt;'RFPR cover'!$F$14,"OK","ERROR")</f>
        <v>OK</v>
      </c>
      <c r="E33" s="726" t="str">
        <f>IF(ABS(E30-SUM(E31:E32))&lt;'RFPR cover'!$F$14,"OK","ERROR")</f>
        <v>OK</v>
      </c>
      <c r="F33" s="726" t="str">
        <f>IF(ABS(F30-SUM(F31:F32))&lt;'RFPR cover'!$F$14,"OK","ERROR")</f>
        <v>OK</v>
      </c>
      <c r="G33" s="726" t="str">
        <f>IF(ABS(G30-SUM(G31:G32))&lt;'RFPR cover'!$F$14,"OK","ERROR")</f>
        <v>OK</v>
      </c>
      <c r="H33" s="726" t="str">
        <f>IF(ABS(H30-SUM(H31:H32))&lt;'RFPR cover'!$F$14,"OK","ERROR")</f>
        <v>OK</v>
      </c>
      <c r="I33" s="726" t="str">
        <f>IF(ABS(I30-SUM(I31:I32))&lt;'RFPR cover'!$F$14,"OK","ERROR")</f>
        <v>OK</v>
      </c>
      <c r="J33" s="726" t="str">
        <f>IF(ABS(J30-SUM(J31:J32))&lt;'RFPR cover'!$F$14,"OK","ERROR")</f>
        <v>OK</v>
      </c>
      <c r="K33" s="727" t="str">
        <f>IF(ABS(K30-SUM(K31:K32))&lt;'RFPR cover'!$F$14,"OK","ERROR")</f>
        <v>OK</v>
      </c>
    </row>
    <row r="34" spans="2:14">
      <c r="D34" s="729"/>
      <c r="E34" s="729"/>
      <c r="F34" s="729"/>
      <c r="G34" s="729"/>
      <c r="H34" s="729"/>
      <c r="I34" s="729"/>
      <c r="J34" s="729"/>
      <c r="K34" s="729"/>
    </row>
    <row r="35" spans="2:14">
      <c r="B35" s="174" t="s">
        <v>525</v>
      </c>
      <c r="C35" s="121" t="s">
        <v>125</v>
      </c>
      <c r="D35" s="484">
        <v>0</v>
      </c>
      <c r="E35" s="485">
        <v>0</v>
      </c>
      <c r="F35" s="485">
        <v>0</v>
      </c>
      <c r="G35" s="485">
        <v>0</v>
      </c>
      <c r="H35" s="485">
        <v>0</v>
      </c>
      <c r="I35" s="485">
        <v>0</v>
      </c>
      <c r="J35" s="485">
        <v>0</v>
      </c>
      <c r="K35" s="541"/>
    </row>
    <row r="36" spans="2:14">
      <c r="D36" s="729"/>
      <c r="E36" s="729"/>
      <c r="F36" s="729"/>
      <c r="G36" s="729"/>
      <c r="H36" s="729"/>
      <c r="I36" s="729"/>
      <c r="J36" s="729"/>
      <c r="K36" s="729"/>
    </row>
    <row r="37" spans="2:14">
      <c r="B37" s="174" t="s">
        <v>79</v>
      </c>
      <c r="C37" s="121" t="s">
        <v>125</v>
      </c>
      <c r="D37" s="655">
        <v>11.156748888637901</v>
      </c>
      <c r="E37" s="857">
        <v>22.641558248179795</v>
      </c>
      <c r="F37" s="857">
        <v>41.918966474459708</v>
      </c>
      <c r="G37" s="857">
        <v>37.832480684446935</v>
      </c>
      <c r="H37" s="857">
        <v>34.488099534781867</v>
      </c>
      <c r="I37" s="857">
        <v>16.888222342980438</v>
      </c>
      <c r="J37" s="857">
        <v>83.295682731142037</v>
      </c>
      <c r="K37" s="858">
        <v>131.48173546311841</v>
      </c>
      <c r="N37" s="262"/>
    </row>
    <row r="38" spans="2:14">
      <c r="B38" s="174"/>
      <c r="C38" s="121"/>
      <c r="D38" s="622"/>
      <c r="E38" s="622"/>
      <c r="F38" s="622"/>
      <c r="G38" s="622"/>
      <c r="H38" s="622"/>
      <c r="I38" s="622"/>
      <c r="J38" s="622"/>
      <c r="K38" s="622"/>
      <c r="N38" s="262"/>
    </row>
    <row r="39" spans="2:14">
      <c r="B39" s="174" t="s">
        <v>478</v>
      </c>
      <c r="C39" s="121" t="s">
        <v>125</v>
      </c>
      <c r="D39" s="85">
        <f t="shared" ref="D39:K39" si="3">D30-D37</f>
        <v>30.243251111362092</v>
      </c>
      <c r="E39" s="86">
        <f t="shared" si="3"/>
        <v>18.458441751820207</v>
      </c>
      <c r="F39" s="86">
        <f t="shared" si="3"/>
        <v>-1.7189664744597195</v>
      </c>
      <c r="G39" s="86">
        <f t="shared" si="3"/>
        <v>2.3425496855530596</v>
      </c>
      <c r="H39" s="86">
        <f t="shared" si="3"/>
        <v>7.673995415218144</v>
      </c>
      <c r="I39" s="86">
        <f t="shared" si="3"/>
        <v>21.478468787019569</v>
      </c>
      <c r="J39" s="86">
        <f t="shared" si="3"/>
        <v>-47.589593451142022</v>
      </c>
      <c r="K39" s="87">
        <f t="shared" si="3"/>
        <v>-81.339865268507381</v>
      </c>
    </row>
    <row r="40" spans="2:14">
      <c r="B40" s="174"/>
      <c r="C40" s="121"/>
      <c r="D40" s="121"/>
      <c r="E40" s="121"/>
      <c r="F40" s="121"/>
      <c r="G40" s="121"/>
      <c r="H40" s="121"/>
      <c r="I40" s="121"/>
      <c r="J40" s="121"/>
      <c r="K40" s="121"/>
      <c r="L40" s="121"/>
      <c r="N40" s="262"/>
    </row>
    <row r="41" spans="2:14">
      <c r="B41" s="744" t="s">
        <v>368</v>
      </c>
      <c r="C41" s="121" t="s">
        <v>124</v>
      </c>
      <c r="D41" s="415">
        <f>Data!C34</f>
        <v>1.0603167467048125</v>
      </c>
      <c r="E41" s="859">
        <f>Data!D34</f>
        <v>1.0830366813119445</v>
      </c>
      <c r="F41" s="859">
        <f>Data!E34</f>
        <v>1.1235639113109226</v>
      </c>
      <c r="G41" s="859">
        <f>Data!F34</f>
        <v>1.1578951670583426</v>
      </c>
      <c r="H41" s="859">
        <f>Data!G34</f>
        <v>1.1878696229692449</v>
      </c>
      <c r="I41" s="859">
        <f>Data!H34</f>
        <v>1.202275126868976</v>
      </c>
      <c r="J41" s="859">
        <f>Data!I34</f>
        <v>1.2717209904294811</v>
      </c>
      <c r="K41" s="860">
        <f>Data!J34</f>
        <v>1.3772738326351281</v>
      </c>
      <c r="L41" s="121"/>
      <c r="N41" s="262"/>
    </row>
    <row r="42" spans="2:14">
      <c r="L42" s="736"/>
      <c r="M42" s="736"/>
      <c r="N42" s="736"/>
    </row>
    <row r="43" spans="2:14">
      <c r="B43" s="628" t="s">
        <v>424</v>
      </c>
      <c r="C43" s="752" t="str">
        <f>'RFPR cover'!$C$14</f>
        <v>£m 12/13</v>
      </c>
      <c r="D43" s="116">
        <f t="shared" ref="D43:K43" si="4">D39/D41</f>
        <v>28.52284584332957</v>
      </c>
      <c r="E43" s="117">
        <f t="shared" si="4"/>
        <v>17.043228609265974</v>
      </c>
      <c r="F43" s="117">
        <f t="shared" si="4"/>
        <v>-1.5299231820770289</v>
      </c>
      <c r="G43" s="117">
        <f t="shared" si="4"/>
        <v>2.0231103403811219</v>
      </c>
      <c r="H43" s="117">
        <f t="shared" si="4"/>
        <v>6.4603010859356162</v>
      </c>
      <c r="I43" s="117">
        <f t="shared" si="4"/>
        <v>17.864853316024973</v>
      </c>
      <c r="J43" s="117">
        <f t="shared" si="4"/>
        <v>-37.42141067835189</v>
      </c>
      <c r="K43" s="118">
        <f t="shared" si="4"/>
        <v>-59.05860065088175</v>
      </c>
      <c r="L43" s="546">
        <f>SUM(D43:INDEX(D43:K43,0,MATCH('RFPR cover'!$C$7,$D$6:$K$6,0)))</f>
        <v>32.963005334508338</v>
      </c>
      <c r="M43" s="547">
        <f>SUM(D43:K43)</f>
        <v>-26.095595316373412</v>
      </c>
    </row>
    <row r="44" spans="2:14">
      <c r="B44" s="174"/>
      <c r="C44" s="736"/>
      <c r="D44" s="610"/>
      <c r="E44" s="610"/>
      <c r="F44" s="610"/>
      <c r="G44" s="610"/>
      <c r="H44" s="610"/>
      <c r="I44" s="610"/>
      <c r="J44" s="610"/>
      <c r="K44" s="610"/>
      <c r="L44" s="624"/>
      <c r="M44" s="624"/>
    </row>
    <row r="45" spans="2:14">
      <c r="B45" s="628" t="s">
        <v>514</v>
      </c>
      <c r="C45" s="121"/>
      <c r="D45" s="610"/>
      <c r="E45" s="610"/>
      <c r="F45" s="610"/>
      <c r="G45" s="610"/>
      <c r="H45" s="610"/>
      <c r="I45" s="610"/>
      <c r="J45" s="610"/>
      <c r="K45" s="610"/>
      <c r="L45" s="624"/>
      <c r="M45" s="624"/>
    </row>
    <row r="46" spans="2:14">
      <c r="B46" s="719" t="s">
        <v>499</v>
      </c>
      <c r="C46" s="121" t="s">
        <v>125</v>
      </c>
      <c r="D46" s="861">
        <v>0</v>
      </c>
      <c r="E46" s="862">
        <v>0</v>
      </c>
      <c r="F46" s="862">
        <v>0</v>
      </c>
      <c r="G46" s="862">
        <v>0</v>
      </c>
      <c r="H46" s="862">
        <v>0</v>
      </c>
      <c r="I46" s="862">
        <v>0</v>
      </c>
      <c r="J46" s="862">
        <v>0</v>
      </c>
      <c r="K46" s="863">
        <v>0</v>
      </c>
      <c r="L46" s="546">
        <f>SUM(D46:INDEX(D46:K46,0,MATCH('RFPR cover'!$C$7,$D$6:$K$6,0)))</f>
        <v>0</v>
      </c>
      <c r="M46" s="547">
        <f>SUM(D46:K46)</f>
        <v>0</v>
      </c>
    </row>
    <row r="47" spans="2:14">
      <c r="B47" s="719" t="s">
        <v>534</v>
      </c>
      <c r="C47" s="121" t="s">
        <v>125</v>
      </c>
      <c r="D47" s="864"/>
      <c r="E47" s="865"/>
      <c r="F47" s="865"/>
      <c r="G47" s="866"/>
      <c r="H47" s="866"/>
      <c r="I47" s="866"/>
      <c r="J47" s="866"/>
      <c r="K47" s="867">
        <v>0</v>
      </c>
      <c r="L47" s="546">
        <f>SUM(D47:INDEX(D47:K47,0,MATCH('RFPR cover'!$C$7,$D$6:$K$6,0)))</f>
        <v>0</v>
      </c>
      <c r="M47" s="547">
        <f>SUM(D47:K47)</f>
        <v>0</v>
      </c>
    </row>
    <row r="48" spans="2:14">
      <c r="B48" s="719" t="s">
        <v>517</v>
      </c>
      <c r="C48" s="121" t="s">
        <v>125</v>
      </c>
      <c r="D48" s="868">
        <v>0</v>
      </c>
      <c r="E48" s="869">
        <v>0</v>
      </c>
      <c r="F48" s="869">
        <v>0</v>
      </c>
      <c r="G48" s="869">
        <v>0</v>
      </c>
      <c r="H48" s="869">
        <v>0</v>
      </c>
      <c r="I48" s="869">
        <v>0</v>
      </c>
      <c r="J48" s="869">
        <v>0</v>
      </c>
      <c r="K48" s="870">
        <v>0</v>
      </c>
      <c r="L48" s="546">
        <f>SUM(D48:INDEX(D48:K48,0,MATCH('RFPR cover'!$C$7,$D$6:$K$6,0)))</f>
        <v>0</v>
      </c>
      <c r="M48" s="547">
        <f t="shared" ref="M48:M55" si="5">SUM(D48:K48)</f>
        <v>0</v>
      </c>
    </row>
    <row r="49" spans="1:14">
      <c r="B49" s="719" t="s">
        <v>518</v>
      </c>
      <c r="C49" s="121" t="s">
        <v>125</v>
      </c>
      <c r="D49" s="868">
        <v>0</v>
      </c>
      <c r="E49" s="869">
        <v>0</v>
      </c>
      <c r="F49" s="869">
        <v>0</v>
      </c>
      <c r="G49" s="869">
        <v>0</v>
      </c>
      <c r="H49" s="869">
        <v>0</v>
      </c>
      <c r="I49" s="869">
        <v>0</v>
      </c>
      <c r="J49" s="869">
        <v>0</v>
      </c>
      <c r="K49" s="870">
        <v>0</v>
      </c>
      <c r="L49" s="546">
        <f>SUM(D49:INDEX(D49:K49,0,MATCH('RFPR cover'!$C$7,$D$6:$K$6,0)))</f>
        <v>0</v>
      </c>
      <c r="M49" s="547">
        <f t="shared" si="5"/>
        <v>0</v>
      </c>
    </row>
    <row r="50" spans="1:14">
      <c r="B50" s="719" t="s">
        <v>637</v>
      </c>
      <c r="C50" s="121" t="s">
        <v>125</v>
      </c>
      <c r="D50" s="868">
        <v>0</v>
      </c>
      <c r="E50" s="869">
        <v>0</v>
      </c>
      <c r="F50" s="869">
        <v>0</v>
      </c>
      <c r="G50" s="869">
        <v>0</v>
      </c>
      <c r="H50" s="869">
        <v>0</v>
      </c>
      <c r="I50" s="869">
        <v>0</v>
      </c>
      <c r="J50" s="869">
        <v>0</v>
      </c>
      <c r="K50" s="870">
        <v>0</v>
      </c>
      <c r="L50" s="546">
        <f>SUM(D50:INDEX(D50:K50,0,MATCH('RFPR cover'!$C$7,$D$6:$K$6,0)))</f>
        <v>0</v>
      </c>
      <c r="M50" s="547">
        <f t="shared" si="5"/>
        <v>0</v>
      </c>
    </row>
    <row r="51" spans="1:14">
      <c r="B51" s="719" t="s">
        <v>637</v>
      </c>
      <c r="C51" s="121" t="s">
        <v>125</v>
      </c>
      <c r="D51" s="868">
        <v>0</v>
      </c>
      <c r="E51" s="869">
        <v>0</v>
      </c>
      <c r="F51" s="869">
        <v>0</v>
      </c>
      <c r="G51" s="869">
        <v>0</v>
      </c>
      <c r="H51" s="869">
        <v>0</v>
      </c>
      <c r="I51" s="869">
        <v>0</v>
      </c>
      <c r="J51" s="869">
        <v>0</v>
      </c>
      <c r="K51" s="870">
        <v>0</v>
      </c>
      <c r="L51" s="546">
        <f>SUM(D51:INDEX(D51:K51,0,MATCH('RFPR cover'!$C$7,$D$6:$K$6,0)))</f>
        <v>0</v>
      </c>
      <c r="M51" s="547">
        <f t="shared" si="5"/>
        <v>0</v>
      </c>
    </row>
    <row r="52" spans="1:14">
      <c r="B52" s="719" t="s">
        <v>637</v>
      </c>
      <c r="C52" s="121" t="s">
        <v>125</v>
      </c>
      <c r="D52" s="868">
        <v>0</v>
      </c>
      <c r="E52" s="869">
        <v>0</v>
      </c>
      <c r="F52" s="869">
        <v>0</v>
      </c>
      <c r="G52" s="869">
        <v>0</v>
      </c>
      <c r="H52" s="869">
        <v>0</v>
      </c>
      <c r="I52" s="869">
        <v>0</v>
      </c>
      <c r="J52" s="869">
        <v>0</v>
      </c>
      <c r="K52" s="870">
        <v>0</v>
      </c>
      <c r="L52" s="546">
        <f>SUM(D52:INDEX(D52:K52,0,MATCH('RFPR cover'!$C$7,$D$6:$K$6,0)))</f>
        <v>0</v>
      </c>
      <c r="M52" s="547">
        <f t="shared" si="5"/>
        <v>0</v>
      </c>
    </row>
    <row r="53" spans="1:14">
      <c r="B53" s="719" t="s">
        <v>637</v>
      </c>
      <c r="C53" s="121" t="s">
        <v>125</v>
      </c>
      <c r="D53" s="871">
        <v>0</v>
      </c>
      <c r="E53" s="872">
        <v>0</v>
      </c>
      <c r="F53" s="872">
        <v>0</v>
      </c>
      <c r="G53" s="872">
        <v>0</v>
      </c>
      <c r="H53" s="872">
        <v>0</v>
      </c>
      <c r="I53" s="872">
        <v>0</v>
      </c>
      <c r="J53" s="872">
        <v>0</v>
      </c>
      <c r="K53" s="873">
        <v>0</v>
      </c>
      <c r="L53" s="546">
        <f>SUM(D53:INDEX(D53:K53,0,MATCH('RFPR cover'!$C$7,$D$6:$K$6,0)))</f>
        <v>0</v>
      </c>
      <c r="M53" s="547">
        <f t="shared" si="5"/>
        <v>0</v>
      </c>
    </row>
    <row r="54" spans="1:14" s="36" customFormat="1">
      <c r="B54" s="746"/>
      <c r="C54" s="747"/>
      <c r="D54" s="874"/>
      <c r="E54" s="874"/>
      <c r="F54" s="874"/>
      <c r="G54" s="874"/>
      <c r="H54" s="874"/>
      <c r="I54" s="874"/>
      <c r="J54" s="874"/>
      <c r="K54" s="874"/>
      <c r="L54" s="875"/>
      <c r="M54" s="875"/>
    </row>
    <row r="55" spans="1:14">
      <c r="B55" s="748" t="s">
        <v>515</v>
      </c>
      <c r="C55" s="190" t="s">
        <v>125</v>
      </c>
      <c r="D55" s="876">
        <f>SUM(D46:D53)</f>
        <v>0</v>
      </c>
      <c r="E55" s="877">
        <f t="shared" ref="E55:K55" si="6">SUM(E46:E53)</f>
        <v>0</v>
      </c>
      <c r="F55" s="877">
        <f t="shared" si="6"/>
        <v>0</v>
      </c>
      <c r="G55" s="877">
        <f t="shared" si="6"/>
        <v>0</v>
      </c>
      <c r="H55" s="877">
        <f t="shared" si="6"/>
        <v>0</v>
      </c>
      <c r="I55" s="877">
        <f t="shared" si="6"/>
        <v>0</v>
      </c>
      <c r="J55" s="877">
        <f t="shared" si="6"/>
        <v>0</v>
      </c>
      <c r="K55" s="878">
        <f t="shared" si="6"/>
        <v>0</v>
      </c>
      <c r="L55" s="546">
        <f>SUM(D55:INDEX(D55:K55,0,MATCH('RFPR cover'!$C$7,$D$6:$K$6,0)))</f>
        <v>0</v>
      </c>
      <c r="M55" s="547">
        <f t="shared" si="5"/>
        <v>0</v>
      </c>
    </row>
    <row r="56" spans="1:14">
      <c r="B56" s="748" t="s">
        <v>515</v>
      </c>
      <c r="C56" s="752" t="str">
        <f>'RFPR cover'!$C$14</f>
        <v>£m 12/13</v>
      </c>
      <c r="D56" s="110">
        <f>D55/D41</f>
        <v>0</v>
      </c>
      <c r="E56" s="111">
        <f t="shared" ref="E56:K56" si="7">E55/E41</f>
        <v>0</v>
      </c>
      <c r="F56" s="111">
        <f t="shared" si="7"/>
        <v>0</v>
      </c>
      <c r="G56" s="111">
        <f t="shared" si="7"/>
        <v>0</v>
      </c>
      <c r="H56" s="111">
        <f t="shared" si="7"/>
        <v>0</v>
      </c>
      <c r="I56" s="111">
        <f t="shared" si="7"/>
        <v>0</v>
      </c>
      <c r="J56" s="111">
        <f t="shared" si="7"/>
        <v>0</v>
      </c>
      <c r="K56" s="112">
        <f t="shared" si="7"/>
        <v>0</v>
      </c>
      <c r="L56" s="546">
        <f>SUM(D56:INDEX(D56:K56,0,MATCH('RFPR cover'!$C$7,$D$6:$K$6,0)))</f>
        <v>0</v>
      </c>
      <c r="M56" s="547">
        <f>SUM(D56:K56)</f>
        <v>0</v>
      </c>
    </row>
    <row r="57" spans="1:14">
      <c r="B57" s="174"/>
      <c r="C57" s="736"/>
      <c r="D57" s="610"/>
      <c r="E57" s="610"/>
      <c r="F57" s="610"/>
      <c r="G57" s="610"/>
      <c r="H57" s="610"/>
      <c r="I57" s="610"/>
      <c r="J57" s="610"/>
      <c r="K57" s="610"/>
      <c r="L57" s="624"/>
      <c r="M57" s="624"/>
    </row>
    <row r="58" spans="1:14" s="2" customFormat="1">
      <c r="A58" s="1"/>
    </row>
    <row r="59" spans="1:14" s="2" customFormat="1">
      <c r="A59" s="1"/>
      <c r="B59" s="625" t="s">
        <v>434</v>
      </c>
      <c r="C59" s="63"/>
      <c r="D59" s="63"/>
      <c r="E59" s="63"/>
      <c r="F59" s="63"/>
      <c r="G59" s="63"/>
      <c r="H59" s="63"/>
      <c r="I59" s="63"/>
      <c r="J59" s="63"/>
      <c r="K59" s="63"/>
      <c r="L59" s="63"/>
      <c r="M59" s="63"/>
      <c r="N59" s="63"/>
    </row>
    <row r="60" spans="1:14" s="2" customFormat="1">
      <c r="A60" s="1"/>
      <c r="B60" s="301" t="s">
        <v>435</v>
      </c>
    </row>
    <row r="61" spans="1:14" s="2" customFormat="1">
      <c r="A61" s="1"/>
    </row>
    <row r="62" spans="1:14">
      <c r="B62" s="174" t="s">
        <v>112</v>
      </c>
      <c r="C62" s="736" t="s">
        <v>7</v>
      </c>
      <c r="D62" s="879">
        <f>'RFPR cover'!$C$12</f>
        <v>0.65</v>
      </c>
      <c r="E62" s="880">
        <f>'RFPR cover'!$C$12</f>
        <v>0.65</v>
      </c>
      <c r="F62" s="880">
        <f>'RFPR cover'!$C$12</f>
        <v>0.65</v>
      </c>
      <c r="G62" s="880">
        <f>'RFPR cover'!$C$12</f>
        <v>0.65</v>
      </c>
      <c r="H62" s="880">
        <f>'RFPR cover'!$C$12</f>
        <v>0.65</v>
      </c>
      <c r="I62" s="880">
        <f>'RFPR cover'!$C$12</f>
        <v>0.65</v>
      </c>
      <c r="J62" s="880">
        <f>'RFPR cover'!$C$12</f>
        <v>0.65</v>
      </c>
      <c r="K62" s="881">
        <f>'RFPR cover'!$C$12</f>
        <v>0.65</v>
      </c>
      <c r="N62" s="262"/>
    </row>
    <row r="63" spans="1:14">
      <c r="B63" s="174" t="s">
        <v>397</v>
      </c>
      <c r="C63" s="736" t="s">
        <v>7</v>
      </c>
      <c r="D63" s="882">
        <f>'R8 - Net Debt'!D64</f>
        <v>0.63015417557932418</v>
      </c>
      <c r="E63" s="883">
        <f>'R8 - Net Debt'!E64</f>
        <v>0.60794137636101053</v>
      </c>
      <c r="F63" s="883">
        <f>'R8 - Net Debt'!F64</f>
        <v>0.60357895101907866</v>
      </c>
      <c r="G63" s="883">
        <f>'R8 - Net Debt'!G64</f>
        <v>0.62640691071720378</v>
      </c>
      <c r="H63" s="883">
        <f>'R8 - Net Debt'!H64</f>
        <v>0.64189590292998522</v>
      </c>
      <c r="I63" s="883">
        <f>'R8 - Net Debt'!I64</f>
        <v>0.64947693452489719</v>
      </c>
      <c r="J63" s="883">
        <f>'R8 - Net Debt'!J64</f>
        <v>0.62609947254540022</v>
      </c>
      <c r="K63" s="884">
        <f>'R8 - Net Debt'!K64</f>
        <v>0.62060046072186326</v>
      </c>
      <c r="N63" s="262"/>
    </row>
    <row r="64" spans="1:14">
      <c r="B64" s="174"/>
      <c r="C64" s="736"/>
      <c r="D64" s="736"/>
      <c r="E64" s="736"/>
      <c r="F64" s="736"/>
      <c r="G64" s="736"/>
      <c r="H64" s="736"/>
      <c r="I64" s="736"/>
      <c r="J64" s="736"/>
      <c r="K64" s="736"/>
      <c r="N64" s="262"/>
    </row>
    <row r="65" spans="2:15">
      <c r="B65" s="174" t="s">
        <v>424</v>
      </c>
      <c r="C65" s="121" t="s">
        <v>125</v>
      </c>
      <c r="D65" s="78">
        <f t="shared" ref="D65:K65" si="8">D39</f>
        <v>30.243251111362092</v>
      </c>
      <c r="E65" s="79">
        <f t="shared" si="8"/>
        <v>18.458441751820207</v>
      </c>
      <c r="F65" s="79">
        <f t="shared" si="8"/>
        <v>-1.7189664744597195</v>
      </c>
      <c r="G65" s="79">
        <f t="shared" si="8"/>
        <v>2.3425496855530596</v>
      </c>
      <c r="H65" s="79">
        <f t="shared" si="8"/>
        <v>7.673995415218144</v>
      </c>
      <c r="I65" s="79">
        <f t="shared" si="8"/>
        <v>21.478468787019569</v>
      </c>
      <c r="J65" s="79">
        <f t="shared" si="8"/>
        <v>-47.589593451142022</v>
      </c>
      <c r="K65" s="80">
        <f t="shared" si="8"/>
        <v>-81.339865268507381</v>
      </c>
    </row>
    <row r="66" spans="2:15">
      <c r="B66" s="174" t="s">
        <v>442</v>
      </c>
      <c r="C66" s="121" t="s">
        <v>125</v>
      </c>
      <c r="D66" s="81">
        <f>((D62-D63)/D63)*D65</f>
        <v>0.95246889527426082</v>
      </c>
      <c r="E66" s="82">
        <f t="shared" ref="E66:K66" si="9">((E62-E63)/E63)*E65</f>
        <v>1.276992625915641</v>
      </c>
      <c r="F66" s="82">
        <f t="shared" si="9"/>
        <v>-0.13220511877150276</v>
      </c>
      <c r="G66" s="82">
        <f t="shared" si="9"/>
        <v>8.8230163069817666E-2</v>
      </c>
      <c r="H66" s="82">
        <f t="shared" si="9"/>
        <v>9.688612043775556E-2</v>
      </c>
      <c r="I66" s="82">
        <f t="shared" si="9"/>
        <v>1.7297989941370481E-2</v>
      </c>
      <c r="J66" s="82">
        <f t="shared" si="9"/>
        <v>-1.8166704089497312</v>
      </c>
      <c r="K66" s="83">
        <f t="shared" si="9"/>
        <v>-3.8532916347794615</v>
      </c>
      <c r="N66" s="262"/>
    </row>
    <row r="67" spans="2:15">
      <c r="B67" s="174" t="s">
        <v>441</v>
      </c>
      <c r="C67" s="121" t="s">
        <v>125</v>
      </c>
      <c r="D67" s="75">
        <f>SUM(D65:D66)</f>
        <v>31.195720006636353</v>
      </c>
      <c r="E67" s="76">
        <f t="shared" ref="E67:K67" si="10">SUM(E65:E66)</f>
        <v>19.735434377735849</v>
      </c>
      <c r="F67" s="76">
        <f t="shared" si="10"/>
        <v>-1.8511715932312223</v>
      </c>
      <c r="G67" s="76">
        <f t="shared" si="10"/>
        <v>2.4307798486228771</v>
      </c>
      <c r="H67" s="76">
        <f t="shared" si="10"/>
        <v>7.7708815356558993</v>
      </c>
      <c r="I67" s="76">
        <f t="shared" si="10"/>
        <v>21.495766776960938</v>
      </c>
      <c r="J67" s="76">
        <f t="shared" si="10"/>
        <v>-49.406263860091755</v>
      </c>
      <c r="K67" s="77">
        <f t="shared" si="10"/>
        <v>-85.193156903286848</v>
      </c>
    </row>
    <row r="68" spans="2:15">
      <c r="B68" s="174"/>
      <c r="C68" s="121"/>
      <c r="D68" s="121"/>
      <c r="E68" s="121"/>
      <c r="F68" s="121"/>
      <c r="G68" s="121"/>
      <c r="H68" s="121"/>
      <c r="I68" s="121"/>
      <c r="J68" s="121"/>
      <c r="K68" s="121"/>
      <c r="L68" s="121"/>
      <c r="M68" s="121"/>
      <c r="N68" s="121"/>
      <c r="O68" s="121"/>
    </row>
    <row r="69" spans="2:15">
      <c r="B69" s="628" t="s">
        <v>441</v>
      </c>
      <c r="C69" s="752" t="str">
        <f>'RFPR cover'!$C$14</f>
        <v>£m 12/13</v>
      </c>
      <c r="D69" s="113">
        <f t="shared" ref="D69:K69" si="11">D67/D41</f>
        <v>29.421132980861149</v>
      </c>
      <c r="E69" s="114">
        <f t="shared" si="11"/>
        <v>18.222313905221736</v>
      </c>
      <c r="F69" s="114">
        <f t="shared" si="11"/>
        <v>-1.6475890464222551</v>
      </c>
      <c r="G69" s="114">
        <f t="shared" si="11"/>
        <v>2.0993090892661077</v>
      </c>
      <c r="H69" s="114">
        <f t="shared" si="11"/>
        <v>6.5418640104892178</v>
      </c>
      <c r="I69" s="114">
        <f t="shared" si="11"/>
        <v>17.879241029415017</v>
      </c>
      <c r="J69" s="114">
        <f t="shared" si="11"/>
        <v>-38.849924025714515</v>
      </c>
      <c r="K69" s="115">
        <f t="shared" si="11"/>
        <v>-61.856367909268556</v>
      </c>
      <c r="L69" s="546">
        <f>SUM(D69:INDEX(D69:K69,0,MATCH('RFPR cover'!$C$7,$D$6:$K$6,0)))</f>
        <v>33.666347943116463</v>
      </c>
      <c r="M69" s="547">
        <f>SUM(D69:K69)</f>
        <v>-28.190019966152093</v>
      </c>
    </row>
    <row r="70" spans="2:15">
      <c r="B70" s="174" t="s">
        <v>516</v>
      </c>
      <c r="C70" s="737" t="str">
        <f>'RFPR cover'!$C$14</f>
        <v>£m 12/13</v>
      </c>
      <c r="D70" s="75">
        <f>D56*((D62-D63)/D63)+D56</f>
        <v>0</v>
      </c>
      <c r="E70" s="76">
        <f t="shared" ref="E70:K70" si="12">E56*((E62-E63)/E63)+E56</f>
        <v>0</v>
      </c>
      <c r="F70" s="76">
        <f t="shared" si="12"/>
        <v>0</v>
      </c>
      <c r="G70" s="76">
        <f t="shared" si="12"/>
        <v>0</v>
      </c>
      <c r="H70" s="76">
        <f t="shared" si="12"/>
        <v>0</v>
      </c>
      <c r="I70" s="76">
        <f t="shared" si="12"/>
        <v>0</v>
      </c>
      <c r="J70" s="76">
        <f t="shared" si="12"/>
        <v>0</v>
      </c>
      <c r="K70" s="77">
        <f t="shared" si="12"/>
        <v>0</v>
      </c>
      <c r="L70" s="542">
        <f>SUM(D70:INDEX(D70:K70,0,MATCH('RFPR cover'!$C$7,$D$6:$K$6,0)))</f>
        <v>0</v>
      </c>
      <c r="M70" s="543">
        <f>SUM(D70:K70)</f>
        <v>0</v>
      </c>
      <c r="N70" s="736"/>
    </row>
    <row r="72" spans="2:15">
      <c r="B72" s="623" t="s">
        <v>312</v>
      </c>
      <c r="C72" s="749"/>
      <c r="D72" s="749"/>
      <c r="E72" s="749"/>
      <c r="F72" s="749"/>
      <c r="G72" s="749"/>
      <c r="H72" s="749"/>
      <c r="I72" s="749"/>
      <c r="J72" s="749"/>
      <c r="K72" s="749"/>
      <c r="L72" s="749"/>
      <c r="M72" s="749"/>
      <c r="N72" s="749"/>
      <c r="O72" s="736"/>
    </row>
    <row r="73" spans="2:15">
      <c r="B73" s="750"/>
      <c r="C73" s="736"/>
      <c r="D73" s="736"/>
      <c r="E73" s="736"/>
      <c r="F73" s="736"/>
      <c r="G73" s="736"/>
      <c r="H73" s="736"/>
      <c r="I73" s="736"/>
      <c r="J73" s="736"/>
      <c r="K73" s="736"/>
      <c r="L73" s="736"/>
      <c r="M73" s="736"/>
      <c r="N73" s="736"/>
      <c r="O73" s="736"/>
    </row>
    <row r="74" spans="2:15">
      <c r="B74" s="301" t="s">
        <v>471</v>
      </c>
      <c r="C74" s="300"/>
      <c r="D74" s="300"/>
      <c r="E74" s="300"/>
      <c r="F74" s="300"/>
      <c r="G74" s="300"/>
      <c r="H74" s="300"/>
      <c r="I74" s="300"/>
      <c r="J74" s="300"/>
      <c r="K74" s="300"/>
      <c r="L74" s="300"/>
      <c r="M74" s="300"/>
      <c r="N74" s="300"/>
      <c r="O74" s="736"/>
    </row>
    <row r="75" spans="2:15">
      <c r="B75" s="301" t="s">
        <v>341</v>
      </c>
      <c r="C75" s="300"/>
      <c r="D75" s="300"/>
      <c r="E75" s="300"/>
      <c r="F75" s="300"/>
      <c r="G75" s="300"/>
      <c r="H75" s="300"/>
      <c r="I75" s="300"/>
      <c r="J75" s="300"/>
      <c r="K75" s="300"/>
      <c r="L75" s="300"/>
      <c r="M75" s="300"/>
      <c r="N75" s="300"/>
      <c r="O75" s="736"/>
    </row>
    <row r="76" spans="2:15">
      <c r="B76" s="301" t="s">
        <v>342</v>
      </c>
      <c r="C76" s="300"/>
      <c r="D76" s="300"/>
      <c r="E76" s="300"/>
      <c r="F76" s="300"/>
      <c r="G76" s="300"/>
      <c r="H76" s="300"/>
      <c r="I76" s="300"/>
      <c r="J76" s="300"/>
      <c r="K76" s="300"/>
      <c r="L76" s="300"/>
      <c r="M76" s="300"/>
      <c r="N76" s="300"/>
      <c r="O76" s="736"/>
    </row>
    <row r="77" spans="2:15">
      <c r="B77" s="301" t="s">
        <v>521</v>
      </c>
      <c r="C77" s="300"/>
      <c r="D77" s="300"/>
      <c r="E77" s="300"/>
      <c r="F77" s="300"/>
      <c r="G77" s="300"/>
      <c r="H77" s="300"/>
      <c r="I77" s="300"/>
      <c r="J77" s="300"/>
      <c r="K77" s="300"/>
      <c r="L77" s="300"/>
      <c r="M77" s="300"/>
      <c r="N77" s="300"/>
      <c r="O77" s="736"/>
    </row>
    <row r="78" spans="2:15">
      <c r="B78" s="751"/>
      <c r="C78" s="751"/>
      <c r="D78" s="751"/>
      <c r="E78" s="751"/>
      <c r="F78" s="751"/>
      <c r="G78" s="751"/>
      <c r="H78" s="751"/>
      <c r="I78" s="751"/>
      <c r="J78" s="751"/>
      <c r="K78" s="751"/>
      <c r="L78" s="751"/>
      <c r="M78" s="751"/>
      <c r="N78" s="751"/>
      <c r="O78" s="736"/>
    </row>
    <row r="79" spans="2:15">
      <c r="B79" s="174" t="s">
        <v>229</v>
      </c>
      <c r="C79" s="737" t="str">
        <f>'RFPR cover'!$C$14</f>
        <v>£m 12/13</v>
      </c>
      <c r="D79" s="480">
        <v>25.24306692398137</v>
      </c>
      <c r="E79" s="481">
        <v>24.811477720801474</v>
      </c>
      <c r="F79" s="481">
        <v>24.236897008098854</v>
      </c>
      <c r="G79" s="481">
        <v>22.699143788791091</v>
      </c>
      <c r="H79" s="481">
        <v>21.509291957792971</v>
      </c>
      <c r="I79" s="481">
        <v>20.049742571581767</v>
      </c>
      <c r="J79" s="481">
        <v>18.493909127815559</v>
      </c>
      <c r="K79" s="853">
        <v>0</v>
      </c>
      <c r="L79" s="665"/>
      <c r="M79" s="665"/>
      <c r="O79" s="736"/>
    </row>
    <row r="80" spans="2:15">
      <c r="B80" s="174" t="s">
        <v>311</v>
      </c>
      <c r="C80" s="737" t="str">
        <f>'RFPR cover'!$C$14</f>
        <v>£m 12/13</v>
      </c>
      <c r="D80" s="544">
        <f>'R9 - RAV'!D49</f>
        <v>25.213452043816289</v>
      </c>
      <c r="E80" s="545">
        <f>'R9 - RAV'!E49</f>
        <v>24.729436053908124</v>
      </c>
      <c r="F80" s="545">
        <f>'R9 - RAV'!F49</f>
        <v>24.18706398172883</v>
      </c>
      <c r="G80" s="545">
        <f>'R9 - RAV'!G49</f>
        <v>22.829790569281027</v>
      </c>
      <c r="H80" s="545">
        <f>'R9 - RAV'!H49</f>
        <v>21.745805157488409</v>
      </c>
      <c r="I80" s="545">
        <f>'R9 - RAV'!I49</f>
        <v>20.194992564258495</v>
      </c>
      <c r="J80" s="545">
        <f>'R9 - RAV'!J49</f>
        <v>18.598476229443921</v>
      </c>
      <c r="K80" s="885">
        <f>'R9 - RAV'!K49</f>
        <v>17.147985933141932</v>
      </c>
      <c r="L80" s="886">
        <f>SUM(D80:INDEX(D80:K80,0,MATCH('RFPR cover'!$C$7,$D$6:$K$6,0)))</f>
        <v>157.49901659992508</v>
      </c>
      <c r="M80" s="887">
        <f>SUM(D80:K80)</f>
        <v>174.64700253306702</v>
      </c>
      <c r="O80" s="736"/>
    </row>
    <row r="81" spans="2:15">
      <c r="B81" s="174"/>
      <c r="C81" s="736"/>
      <c r="D81" s="626"/>
      <c r="E81" s="626"/>
      <c r="F81" s="626"/>
      <c r="G81" s="626"/>
      <c r="H81" s="626"/>
      <c r="I81" s="626"/>
      <c r="J81" s="626"/>
      <c r="K81" s="626"/>
      <c r="L81" s="624"/>
      <c r="M81" s="624"/>
      <c r="O81" s="736"/>
    </row>
    <row r="82" spans="2:15">
      <c r="B82" s="174"/>
      <c r="C82" s="736"/>
      <c r="D82" s="626"/>
      <c r="E82" s="627"/>
      <c r="F82" s="627"/>
      <c r="G82" s="627"/>
      <c r="H82" s="627"/>
      <c r="I82" s="627"/>
      <c r="J82" s="627"/>
      <c r="K82" s="627"/>
      <c r="L82" s="624"/>
      <c r="M82" s="624"/>
      <c r="O82" s="736"/>
    </row>
    <row r="83" spans="2:15">
      <c r="B83" s="629" t="s">
        <v>425</v>
      </c>
      <c r="C83" s="749"/>
      <c r="D83" s="749"/>
      <c r="E83" s="749"/>
      <c r="F83" s="749"/>
      <c r="G83" s="749"/>
      <c r="H83" s="749"/>
      <c r="I83" s="749"/>
      <c r="J83" s="749"/>
      <c r="K83" s="749"/>
      <c r="L83" s="749"/>
      <c r="M83" s="749"/>
      <c r="N83" s="749"/>
    </row>
    <row r="84" spans="2:15">
      <c r="B84" s="174"/>
      <c r="C84" s="736"/>
      <c r="D84" s="736"/>
      <c r="E84" s="736"/>
      <c r="F84" s="736"/>
      <c r="G84" s="736"/>
      <c r="H84" s="736"/>
      <c r="I84" s="736"/>
      <c r="J84" s="736"/>
      <c r="K84" s="736"/>
      <c r="L84" s="736"/>
      <c r="M84" s="736"/>
      <c r="N84" s="736"/>
    </row>
    <row r="85" spans="2:15">
      <c r="B85" s="15" t="s">
        <v>479</v>
      </c>
      <c r="C85" s="736"/>
      <c r="D85" s="736"/>
      <c r="E85" s="736"/>
      <c r="F85" s="736"/>
      <c r="G85" s="736"/>
      <c r="H85" s="736"/>
      <c r="I85" s="736"/>
      <c r="J85" s="736"/>
      <c r="K85" s="736"/>
      <c r="L85" s="736"/>
      <c r="M85" s="736"/>
      <c r="N85" s="736"/>
    </row>
    <row r="86" spans="2:15">
      <c r="B86" s="174" t="s">
        <v>480</v>
      </c>
      <c r="C86" s="737" t="str">
        <f>'RFPR cover'!$C$14</f>
        <v>£m 12/13</v>
      </c>
      <c r="D86" s="116">
        <f>D80-D43-D56</f>
        <v>-3.3093937995132805</v>
      </c>
      <c r="E86" s="117">
        <f t="shared" ref="E86:K86" si="13">E80-E43-E56</f>
        <v>7.6862074446421502</v>
      </c>
      <c r="F86" s="117">
        <f t="shared" si="13"/>
        <v>25.716987163805857</v>
      </c>
      <c r="G86" s="117">
        <f t="shared" si="13"/>
        <v>20.806680228899904</v>
      </c>
      <c r="H86" s="117">
        <f t="shared" si="13"/>
        <v>15.285504071552793</v>
      </c>
      <c r="I86" s="117">
        <f t="shared" si="13"/>
        <v>2.3301392482335217</v>
      </c>
      <c r="J86" s="117">
        <f t="shared" si="13"/>
        <v>56.019886907795808</v>
      </c>
      <c r="K86" s="118">
        <f t="shared" si="13"/>
        <v>76.206586584023682</v>
      </c>
      <c r="L86" s="546">
        <f>SUM(D86:INDEX(D86:K86,0,MATCH('RFPR cover'!$C$7,$D$6:$K$6,0)))</f>
        <v>124.53601126541675</v>
      </c>
      <c r="M86" s="547">
        <f>SUM(D86:K86)</f>
        <v>200.74259784944041</v>
      </c>
    </row>
    <row r="87" spans="2:15">
      <c r="B87" s="174"/>
    </row>
    <row r="88" spans="2:15">
      <c r="B88" s="174" t="s">
        <v>481</v>
      </c>
      <c r="C88" s="737" t="str">
        <f>'RFPR cover'!$C$14</f>
        <v>£m 12/13</v>
      </c>
      <c r="D88" s="116">
        <f>D80-D69-D70</f>
        <v>-4.2076809370448593</v>
      </c>
      <c r="E88" s="117">
        <f t="shared" ref="E88:K88" si="14">E80-E69-E70</f>
        <v>6.5071221486863884</v>
      </c>
      <c r="F88" s="117">
        <f t="shared" si="14"/>
        <v>25.834653028151084</v>
      </c>
      <c r="G88" s="117">
        <f t="shared" si="14"/>
        <v>20.73048148001492</v>
      </c>
      <c r="H88" s="117">
        <f t="shared" si="14"/>
        <v>15.203941146999192</v>
      </c>
      <c r="I88" s="117">
        <f t="shared" si="14"/>
        <v>2.3157515348434785</v>
      </c>
      <c r="J88" s="117">
        <f t="shared" si="14"/>
        <v>57.448400255158433</v>
      </c>
      <c r="K88" s="118">
        <f t="shared" si="14"/>
        <v>79.004353842410495</v>
      </c>
      <c r="L88" s="546">
        <f>SUM(D88:INDEX(D88:K88,0,MATCH('RFPR cover'!$C$7,$D$6:$K$6,0)))</f>
        <v>123.83266865680865</v>
      </c>
      <c r="M88" s="547">
        <f>SUM(D88:K88)</f>
        <v>202.83702249921913</v>
      </c>
    </row>
    <row r="89" spans="2:15">
      <c r="B89" s="174"/>
    </row>
    <row r="90" spans="2:15">
      <c r="B90" s="174" t="s">
        <v>482</v>
      </c>
      <c r="C90" s="737" t="str">
        <f>'RFPR cover'!$C$14</f>
        <v>£m 12/13</v>
      </c>
      <c r="D90" s="116">
        <f t="shared" ref="D90:K90" si="15">D86-D88</f>
        <v>0.89828713753157885</v>
      </c>
      <c r="E90" s="117">
        <f t="shared" si="15"/>
        <v>1.1790852959557618</v>
      </c>
      <c r="F90" s="117">
        <f t="shared" si="15"/>
        <v>-0.11766586434522708</v>
      </c>
      <c r="G90" s="117">
        <f t="shared" si="15"/>
        <v>7.6198748884984013E-2</v>
      </c>
      <c r="H90" s="117">
        <f t="shared" si="15"/>
        <v>8.156292455360159E-2</v>
      </c>
      <c r="I90" s="117">
        <f t="shared" si="15"/>
        <v>1.4387713390043189E-2</v>
      </c>
      <c r="J90" s="117">
        <f t="shared" si="15"/>
        <v>-1.4285133473626246</v>
      </c>
      <c r="K90" s="118">
        <f t="shared" si="15"/>
        <v>-2.7977672583868127</v>
      </c>
      <c r="L90" s="546">
        <f>SUM(D90:INDEX(D90:K90,0,MATCH('RFPR cover'!$C$7,$D$6:$K$6,0)))</f>
        <v>0.70334260860811781</v>
      </c>
      <c r="M90" s="547">
        <f>SUM(D90:K90)</f>
        <v>-2.0944246497786949</v>
      </c>
    </row>
    <row r="94" spans="2:15">
      <c r="B94" s="13" t="s">
        <v>580</v>
      </c>
    </row>
    <row r="95" spans="2:15">
      <c r="B95" s="629" t="s">
        <v>425</v>
      </c>
      <c r="C95" s="749"/>
      <c r="D95" s="749"/>
      <c r="E95" s="749"/>
      <c r="F95" s="749"/>
      <c r="G95" s="749"/>
      <c r="H95" s="749"/>
      <c r="I95" s="749"/>
      <c r="J95" s="749"/>
      <c r="K95" s="749"/>
      <c r="L95" s="749"/>
      <c r="M95" s="749"/>
      <c r="N95" s="749"/>
    </row>
    <row r="96" spans="2:15">
      <c r="B96" s="174"/>
      <c r="C96" s="736"/>
      <c r="D96" s="736"/>
      <c r="E96" s="736"/>
      <c r="F96" s="736"/>
      <c r="G96" s="736"/>
      <c r="H96" s="736"/>
      <c r="I96" s="736"/>
      <c r="J96" s="736"/>
      <c r="K96" s="736"/>
      <c r="L96" s="736"/>
      <c r="M96" s="736"/>
      <c r="N96" s="736"/>
    </row>
    <row r="97" spans="2:14">
      <c r="B97" s="15" t="s">
        <v>479</v>
      </c>
      <c r="C97" s="736"/>
      <c r="D97" s="736"/>
      <c r="E97" s="736"/>
      <c r="F97" s="736"/>
      <c r="G97" s="736"/>
      <c r="H97" s="736"/>
      <c r="I97" s="736"/>
      <c r="J97" s="736"/>
      <c r="K97" s="736"/>
      <c r="L97" s="736"/>
      <c r="M97" s="736"/>
      <c r="N97" s="736"/>
    </row>
    <row r="98" spans="2:14">
      <c r="B98" s="174" t="s">
        <v>480</v>
      </c>
      <c r="C98" s="736" t="s">
        <v>155</v>
      </c>
      <c r="D98" s="116">
        <f>D80-D56-(D30/D41)</f>
        <v>-13.831484413766198</v>
      </c>
      <c r="E98" s="117">
        <f t="shared" ref="E98:K98" si="16">E80-E56-(E30/E41)</f>
        <v>-13.219417119017848</v>
      </c>
      <c r="F98" s="117">
        <f t="shared" si="16"/>
        <v>-11.591942085755559</v>
      </c>
      <c r="G98" s="117">
        <f t="shared" si="16"/>
        <v>-11.866813676909512</v>
      </c>
      <c r="H98" s="117">
        <f t="shared" si="16"/>
        <v>-13.748069031002078</v>
      </c>
      <c r="I98" s="117">
        <f>I80-I56-(I30/I41)</f>
        <v>-11.716747330017146</v>
      </c>
      <c r="J98" s="117">
        <f>J80-J56-(J30/J41)</f>
        <v>-9.4785072824358991</v>
      </c>
      <c r="K98" s="118">
        <f t="shared" si="16"/>
        <v>-19.258623273013498</v>
      </c>
      <c r="L98" s="546">
        <f>SUM(D98:INDEX(D98:K98,0,MATCH('RFPR cover'!$C$7,$D$6:$K$6,0)))</f>
        <v>-85.452980938904233</v>
      </c>
      <c r="M98" s="547">
        <f>SUM(D98:K98)</f>
        <v>-104.71160421191773</v>
      </c>
    </row>
    <row r="99" spans="2:14">
      <c r="B99" s="174"/>
    </row>
    <row r="100" spans="2:14">
      <c r="B100" s="174" t="s">
        <v>481</v>
      </c>
      <c r="C100" s="736" t="s">
        <v>155</v>
      </c>
      <c r="D100" s="116">
        <f t="shared" ref="D100:K100" si="17">D80-D110</f>
        <v>-15.061150078904816</v>
      </c>
      <c r="E100" s="117">
        <f t="shared" si="17"/>
        <v>-15.844796136128167</v>
      </c>
      <c r="F100" s="117">
        <f t="shared" si="17"/>
        <v>-14.343693104148638</v>
      </c>
      <c r="G100" s="117">
        <f t="shared" si="17"/>
        <v>-13.173632084856141</v>
      </c>
      <c r="H100" s="117">
        <f t="shared" si="17"/>
        <v>-14.196188111528127</v>
      </c>
      <c r="I100" s="117">
        <f t="shared" si="17"/>
        <v>-11.742447903050376</v>
      </c>
      <c r="J100" s="117">
        <f t="shared" si="17"/>
        <v>-10.550309359731802</v>
      </c>
      <c r="K100" s="118">
        <f t="shared" si="17"/>
        <v>-20.983303812398141</v>
      </c>
      <c r="L100" s="546">
        <f>SUM(D100:INDEX(D100:K100,0,MATCH('RFPR cover'!$C$7,$D$6:$K$6,0)))</f>
        <v>-94.912216778348068</v>
      </c>
      <c r="M100" s="547">
        <f>SUM(D100:K100)</f>
        <v>-115.8955205907462</v>
      </c>
    </row>
    <row r="101" spans="2:14">
      <c r="B101" s="174"/>
    </row>
    <row r="102" spans="2:14">
      <c r="B102" s="174" t="s">
        <v>482</v>
      </c>
      <c r="C102" s="736" t="s">
        <v>155</v>
      </c>
      <c r="D102" s="116">
        <f>D98-D100</f>
        <v>1.2296656651386186</v>
      </c>
      <c r="E102" s="117">
        <f t="shared" ref="E102:K102" si="18">E98-E100</f>
        <v>2.6253790171103191</v>
      </c>
      <c r="F102" s="117">
        <f t="shared" si="18"/>
        <v>2.7517510183930796</v>
      </c>
      <c r="G102" s="117">
        <f t="shared" si="18"/>
        <v>1.3068184079466292</v>
      </c>
      <c r="H102" s="117">
        <f t="shared" si="18"/>
        <v>0.44811908052604821</v>
      </c>
      <c r="I102" s="117">
        <f t="shared" si="18"/>
        <v>2.5700573033230256E-2</v>
      </c>
      <c r="J102" s="117">
        <f t="shared" si="18"/>
        <v>1.0718020772959029</v>
      </c>
      <c r="K102" s="118">
        <f t="shared" si="18"/>
        <v>1.7246805393846429</v>
      </c>
      <c r="L102" s="546">
        <f>SUM(D102:INDEX(D102:K102,0,MATCH('RFPR cover'!$C$7,$D$6:$K$6,0)))</f>
        <v>9.4592358394438278</v>
      </c>
      <c r="M102" s="547">
        <f>SUM(D102:K102)</f>
        <v>11.183916378828471</v>
      </c>
    </row>
    <row r="107" spans="2:14">
      <c r="B107" s="174" t="s">
        <v>424</v>
      </c>
      <c r="C107" s="121" t="s">
        <v>125</v>
      </c>
      <c r="D107" s="78">
        <f>D30</f>
        <v>41.399999999999991</v>
      </c>
      <c r="E107" s="79">
        <f t="shared" ref="E107:K107" si="19">E30</f>
        <v>41.1</v>
      </c>
      <c r="F107" s="79">
        <f t="shared" si="19"/>
        <v>40.199999999999989</v>
      </c>
      <c r="G107" s="79">
        <f t="shared" si="19"/>
        <v>40.175030369999995</v>
      </c>
      <c r="H107" s="79">
        <f t="shared" si="19"/>
        <v>42.162094950000011</v>
      </c>
      <c r="I107" s="79">
        <f t="shared" si="19"/>
        <v>38.366691130000007</v>
      </c>
      <c r="J107" s="79">
        <f t="shared" si="19"/>
        <v>35.706089280000015</v>
      </c>
      <c r="K107" s="80">
        <f t="shared" si="19"/>
        <v>50.14187019461103</v>
      </c>
    </row>
    <row r="108" spans="2:14">
      <c r="B108" s="174" t="s">
        <v>442</v>
      </c>
      <c r="C108" s="121" t="s">
        <v>125</v>
      </c>
      <c r="D108" s="81">
        <f>((D62-D63)/D63)*D107</f>
        <v>1.3038350975943884</v>
      </c>
      <c r="E108" s="82">
        <f t="shared" ref="E108:K108" si="20">((E62-E63)/E63)*E107</f>
        <v>2.8433817778771768</v>
      </c>
      <c r="F108" s="82">
        <f t="shared" si="20"/>
        <v>3.0917681371795411</v>
      </c>
      <c r="G108" s="82">
        <f t="shared" si="20"/>
        <v>1.5131587187842761</v>
      </c>
      <c r="H108" s="82">
        <f t="shared" si="20"/>
        <v>0.53230704322979672</v>
      </c>
      <c r="I108" s="82">
        <f t="shared" si="20"/>
        <v>3.0899159704135547E-2</v>
      </c>
      <c r="J108" s="82">
        <f t="shared" si="20"/>
        <v>1.3630331992831224</v>
      </c>
      <c r="K108" s="83">
        <f t="shared" si="20"/>
        <v>2.37535737654951</v>
      </c>
    </row>
    <row r="109" spans="2:14">
      <c r="B109" s="174" t="s">
        <v>441</v>
      </c>
      <c r="C109" s="121" t="s">
        <v>125</v>
      </c>
      <c r="D109" s="81">
        <f>SUM(D107:D108)</f>
        <v>42.703835097594379</v>
      </c>
      <c r="E109" s="82">
        <f t="shared" ref="E109:K109" si="21">SUM(E107:E108)</f>
        <v>43.943381777877178</v>
      </c>
      <c r="F109" s="82">
        <f t="shared" si="21"/>
        <v>43.291768137179531</v>
      </c>
      <c r="G109" s="82">
        <f t="shared" si="21"/>
        <v>41.68818908878427</v>
      </c>
      <c r="H109" s="82">
        <f t="shared" si="21"/>
        <v>42.69440199322981</v>
      </c>
      <c r="I109" s="82">
        <f t="shared" si="21"/>
        <v>38.397590289704141</v>
      </c>
      <c r="J109" s="82">
        <f t="shared" si="21"/>
        <v>37.069122479283138</v>
      </c>
      <c r="K109" s="83">
        <f t="shared" si="21"/>
        <v>52.517227571160539</v>
      </c>
    </row>
    <row r="110" spans="2:14">
      <c r="B110" s="174" t="s">
        <v>441</v>
      </c>
      <c r="C110" s="736" t="s">
        <v>155</v>
      </c>
      <c r="D110" s="75">
        <f t="shared" ref="D110:K110" si="22">D109/D41</f>
        <v>40.274602122721106</v>
      </c>
      <c r="E110" s="76">
        <f t="shared" si="22"/>
        <v>40.574232190036291</v>
      </c>
      <c r="F110" s="76">
        <f t="shared" si="22"/>
        <v>38.530757085877468</v>
      </c>
      <c r="G110" s="76">
        <f t="shared" si="22"/>
        <v>36.003422654137168</v>
      </c>
      <c r="H110" s="76">
        <f t="shared" si="22"/>
        <v>35.941993269016535</v>
      </c>
      <c r="I110" s="76">
        <f t="shared" si="22"/>
        <v>31.937440467308871</v>
      </c>
      <c r="J110" s="76">
        <f t="shared" si="22"/>
        <v>29.148785589175723</v>
      </c>
      <c r="K110" s="77">
        <f t="shared" si="22"/>
        <v>38.131289745540073</v>
      </c>
    </row>
  </sheetData>
  <conditionalFormatting sqref="D6:K6">
    <cfRule type="expression" dxfId="68" priority="22">
      <formula>AND(D$5="Actuals",E$5="Forecast")</formula>
    </cfRule>
  </conditionalFormatting>
  <conditionalFormatting sqref="D5:K5">
    <cfRule type="expression" dxfId="67" priority="21">
      <formula>AND(D$5="Actuals",E$5="Forecast")</formula>
    </cfRule>
  </conditionalFormatting>
  <conditionalFormatting sqref="D29:G29 I29:J29">
    <cfRule type="expression" dxfId="66" priority="9">
      <formula>D$5="Forecast"</formula>
    </cfRule>
    <cfRule type="expression" dxfId="65" priority="10">
      <formula>D$5="Actuals"</formula>
    </cfRule>
  </conditionalFormatting>
  <conditionalFormatting sqref="D47:G47">
    <cfRule type="expression" dxfId="64" priority="7">
      <formula>D$5="Forecast"</formula>
    </cfRule>
    <cfRule type="expression" dxfId="63" priority="8">
      <formula>D$5="Actuals"</formula>
    </cfRule>
  </conditionalFormatting>
  <conditionalFormatting sqref="I47:K47">
    <cfRule type="expression" dxfId="62" priority="5">
      <formula>I$5="Forecast"</formula>
    </cfRule>
    <cfRule type="expression" dxfId="61" priority="6">
      <formula>I$5="Actuals"</formula>
    </cfRule>
  </conditionalFormatting>
  <conditionalFormatting sqref="H47">
    <cfRule type="expression" dxfId="60" priority="3">
      <formula>H$5="Forecast"</formula>
    </cfRule>
    <cfRule type="expression" dxfId="59" priority="4">
      <formula>H$5="Actuals"</formula>
    </cfRule>
  </conditionalFormatting>
  <conditionalFormatting sqref="H29">
    <cfRule type="expression" dxfId="58" priority="1">
      <formula>H$5="Forecast"</formula>
    </cfRule>
    <cfRule type="expression" dxfId="57" priority="2">
      <formula>H$5="Actuals"</formula>
    </cfRule>
  </conditionalFormatting>
  <pageMargins left="0.70866141732283472" right="0.70866141732283472" top="0.74803149606299213" bottom="0.74803149606299213" header="0.31496062992125984" footer="0.31496062992125984"/>
  <pageSetup paperSize="8" scale="63" orientation="landscape" r:id="rId1"/>
  <headerFooter>
    <oddFooter>&amp;C&amp;1#&amp;"Calibri"&amp;12&amp;K008000Internal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ht="20.25">
      <c r="A1" s="698" t="s">
        <v>233</v>
      </c>
      <c r="B1" s="681"/>
      <c r="C1" s="209"/>
      <c r="D1" s="209"/>
      <c r="E1" s="209"/>
      <c r="F1" s="209"/>
      <c r="G1" s="209"/>
      <c r="H1" s="209"/>
      <c r="I1" s="699"/>
      <c r="J1" s="699"/>
      <c r="K1" s="700"/>
      <c r="L1" s="701"/>
    </row>
    <row r="2" spans="1:12" ht="20.25">
      <c r="A2" s="674" t="str">
        <f>'RFPR cover'!C5</f>
        <v>SPMW</v>
      </c>
      <c r="B2" s="702"/>
      <c r="C2" s="703"/>
      <c r="D2" s="703"/>
      <c r="E2" s="703"/>
      <c r="F2" s="703"/>
      <c r="G2" s="703"/>
      <c r="H2" s="703"/>
      <c r="I2" s="704"/>
      <c r="J2" s="704"/>
      <c r="K2" s="704"/>
      <c r="L2" s="705"/>
    </row>
    <row r="3" spans="1:12" ht="23.25">
      <c r="A3" s="677">
        <f>'RFPR cover'!C7</f>
        <v>2022</v>
      </c>
      <c r="B3" s="706" t="str">
        <f>'R1 - RoRE'!B3</f>
        <v/>
      </c>
      <c r="C3" s="212"/>
      <c r="D3" s="212"/>
      <c r="E3" s="212"/>
      <c r="F3" s="212"/>
      <c r="G3" s="212"/>
      <c r="H3" s="212"/>
      <c r="I3" s="707"/>
      <c r="J3" s="707"/>
      <c r="K3" s="707"/>
      <c r="L3" s="708"/>
    </row>
    <row r="4" spans="1:12" ht="12.75" customHeight="1">
      <c r="A4" s="714"/>
      <c r="B4" s="714"/>
      <c r="C4" s="714"/>
      <c r="D4" s="714"/>
      <c r="E4" s="714"/>
      <c r="F4" s="714"/>
      <c r="G4" s="714"/>
      <c r="H4" s="714"/>
      <c r="I4" s="715"/>
      <c r="J4" s="715"/>
      <c r="K4" s="715"/>
      <c r="L4" s="716"/>
    </row>
    <row r="5" spans="1:12" s="2" customFormat="1">
      <c r="B5" s="3"/>
      <c r="C5" s="3"/>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row>
    <row r="6" spans="1:12" s="2" customFormat="1">
      <c r="D6" s="99">
        <f>'RFPR cover'!$C$13</f>
        <v>2016</v>
      </c>
      <c r="E6" s="100">
        <f>D6+1</f>
        <v>2017</v>
      </c>
      <c r="F6" s="100">
        <f t="shared" ref="F6:K6" si="0">E6+1</f>
        <v>2018</v>
      </c>
      <c r="G6" s="100">
        <f t="shared" si="0"/>
        <v>2019</v>
      </c>
      <c r="H6" s="100">
        <f t="shared" si="0"/>
        <v>2020</v>
      </c>
      <c r="I6" s="100">
        <f t="shared" si="0"/>
        <v>2021</v>
      </c>
      <c r="J6" s="100">
        <f t="shared" si="0"/>
        <v>2022</v>
      </c>
      <c r="K6" s="157">
        <f t="shared" si="0"/>
        <v>2023</v>
      </c>
    </row>
    <row r="7" spans="1:12" s="2" customFormat="1"/>
    <row r="8" spans="1:12" s="2" customFormat="1">
      <c r="B8" s="174" t="s">
        <v>512</v>
      </c>
      <c r="C8" s="121" t="s">
        <v>125</v>
      </c>
      <c r="D8" s="562">
        <v>0</v>
      </c>
      <c r="E8" s="888">
        <f>D10</f>
        <v>0.3</v>
      </c>
      <c r="F8" s="888">
        <f t="shared" ref="F8:K8" si="1">E10</f>
        <v>0</v>
      </c>
      <c r="G8" s="888">
        <f t="shared" si="1"/>
        <v>0</v>
      </c>
      <c r="H8" s="888">
        <f t="shared" si="1"/>
        <v>0</v>
      </c>
      <c r="I8" s="888">
        <f t="shared" si="1"/>
        <v>0</v>
      </c>
      <c r="J8" s="888">
        <f t="shared" si="1"/>
        <v>0</v>
      </c>
      <c r="K8" s="889">
        <f t="shared" si="1"/>
        <v>0</v>
      </c>
    </row>
    <row r="9" spans="1:12" s="2" customFormat="1">
      <c r="B9" s="174"/>
    </row>
    <row r="10" spans="1:12">
      <c r="B10" s="174" t="s">
        <v>513</v>
      </c>
      <c r="C10" s="121" t="s">
        <v>125</v>
      </c>
      <c r="D10" s="548">
        <v>0.3</v>
      </c>
      <c r="E10" s="549">
        <v>0</v>
      </c>
      <c r="F10" s="549">
        <v>0</v>
      </c>
      <c r="G10" s="549">
        <v>0</v>
      </c>
      <c r="H10" s="549">
        <v>0</v>
      </c>
      <c r="I10" s="549">
        <v>0</v>
      </c>
      <c r="J10" s="549">
        <v>0</v>
      </c>
      <c r="K10" s="550">
        <v>0</v>
      </c>
    </row>
    <row r="11" spans="1:12">
      <c r="B11" s="174" t="s">
        <v>362</v>
      </c>
      <c r="C11" s="121" t="s">
        <v>125</v>
      </c>
      <c r="D11" s="551">
        <v>346.24900000000002</v>
      </c>
      <c r="E11" s="552">
        <v>346.56900000000002</v>
      </c>
      <c r="F11" s="552">
        <v>346.88900000000001</v>
      </c>
      <c r="G11" s="552">
        <v>347.209</v>
      </c>
      <c r="H11" s="552">
        <v>347.5</v>
      </c>
      <c r="I11" s="552">
        <v>347.86706332</v>
      </c>
      <c r="J11" s="552">
        <v>348.19563489999996</v>
      </c>
      <c r="K11" s="553">
        <v>348.44099999999997</v>
      </c>
    </row>
    <row r="12" spans="1:12">
      <c r="B12" s="174" t="s">
        <v>363</v>
      </c>
      <c r="C12" s="121" t="s">
        <v>125</v>
      </c>
      <c r="D12" s="551">
        <v>693.4</v>
      </c>
      <c r="E12" s="552">
        <v>727.1</v>
      </c>
      <c r="F12" s="552">
        <v>876</v>
      </c>
      <c r="G12" s="552">
        <v>962.3</v>
      </c>
      <c r="H12" s="552">
        <v>1007.5</v>
      </c>
      <c r="I12" s="552">
        <v>1139</v>
      </c>
      <c r="J12" s="552">
        <v>1146.9999999900001</v>
      </c>
      <c r="K12" s="553">
        <v>1092</v>
      </c>
    </row>
    <row r="13" spans="1:12">
      <c r="B13" s="174" t="s">
        <v>364</v>
      </c>
      <c r="C13" s="121" t="s">
        <v>125</v>
      </c>
      <c r="D13" s="551">
        <v>0</v>
      </c>
      <c r="E13" s="552">
        <v>0</v>
      </c>
      <c r="F13" s="552">
        <v>-56.1</v>
      </c>
      <c r="G13" s="552">
        <v>0</v>
      </c>
      <c r="H13" s="552">
        <v>0</v>
      </c>
      <c r="I13" s="552">
        <v>-56.680728039999998</v>
      </c>
      <c r="J13" s="552">
        <v>-41.28427482</v>
      </c>
      <c r="K13" s="553">
        <v>0</v>
      </c>
    </row>
    <row r="14" spans="1:12">
      <c r="B14" s="174" t="s">
        <v>365</v>
      </c>
      <c r="C14" s="121" t="s">
        <v>125</v>
      </c>
      <c r="D14" s="551">
        <v>0</v>
      </c>
      <c r="E14" s="552">
        <v>0</v>
      </c>
      <c r="F14" s="552">
        <v>0</v>
      </c>
      <c r="G14" s="552">
        <v>0</v>
      </c>
      <c r="H14" s="552">
        <v>0</v>
      </c>
      <c r="I14" s="552">
        <v>0</v>
      </c>
      <c r="J14" s="552">
        <v>0</v>
      </c>
      <c r="K14" s="553">
        <v>0</v>
      </c>
    </row>
    <row r="15" spans="1:12">
      <c r="B15" s="174" t="s">
        <v>287</v>
      </c>
      <c r="C15" s="121" t="s">
        <v>125</v>
      </c>
      <c r="D15" s="551">
        <v>0</v>
      </c>
      <c r="E15" s="552">
        <v>0</v>
      </c>
      <c r="F15" s="552">
        <v>0</v>
      </c>
      <c r="G15" s="552">
        <v>0</v>
      </c>
      <c r="H15" s="552">
        <v>0</v>
      </c>
      <c r="I15" s="552">
        <v>0</v>
      </c>
      <c r="J15" s="552">
        <v>0</v>
      </c>
      <c r="K15" s="553">
        <v>0</v>
      </c>
    </row>
    <row r="16" spans="1:12">
      <c r="B16" s="174" t="s">
        <v>288</v>
      </c>
      <c r="C16" s="121" t="s">
        <v>125</v>
      </c>
      <c r="D16" s="551">
        <v>0</v>
      </c>
      <c r="E16" s="552">
        <v>0</v>
      </c>
      <c r="F16" s="552">
        <v>0</v>
      </c>
      <c r="G16" s="552">
        <v>0</v>
      </c>
      <c r="H16" s="552">
        <v>0</v>
      </c>
      <c r="I16" s="552">
        <v>0</v>
      </c>
      <c r="J16" s="552">
        <v>0</v>
      </c>
      <c r="K16" s="553">
        <v>0</v>
      </c>
    </row>
    <row r="17" spans="2:13">
      <c r="B17" s="174" t="s">
        <v>292</v>
      </c>
      <c r="C17" s="121" t="s">
        <v>125</v>
      </c>
      <c r="D17" s="551">
        <v>0</v>
      </c>
      <c r="E17" s="552">
        <v>0</v>
      </c>
      <c r="F17" s="552">
        <v>0</v>
      </c>
      <c r="G17" s="552">
        <v>0</v>
      </c>
      <c r="H17" s="552">
        <v>0</v>
      </c>
      <c r="I17" s="552">
        <v>0</v>
      </c>
      <c r="J17" s="552">
        <v>0</v>
      </c>
      <c r="K17" s="553">
        <v>0</v>
      </c>
    </row>
    <row r="18" spans="2:13">
      <c r="B18" s="174" t="s">
        <v>293</v>
      </c>
      <c r="C18" s="121" t="s">
        <v>125</v>
      </c>
      <c r="D18" s="551">
        <v>0</v>
      </c>
      <c r="E18" s="552">
        <v>0</v>
      </c>
      <c r="F18" s="552">
        <v>0</v>
      </c>
      <c r="G18" s="552">
        <v>0</v>
      </c>
      <c r="H18" s="552">
        <v>0</v>
      </c>
      <c r="I18" s="552">
        <v>0</v>
      </c>
      <c r="J18" s="552">
        <v>0</v>
      </c>
      <c r="K18" s="553">
        <v>0</v>
      </c>
    </row>
    <row r="19" spans="2:13">
      <c r="B19" s="174" t="s">
        <v>294</v>
      </c>
      <c r="C19" s="121" t="s">
        <v>125</v>
      </c>
      <c r="D19" s="551">
        <v>0</v>
      </c>
      <c r="E19" s="552">
        <v>0</v>
      </c>
      <c r="F19" s="552">
        <v>0</v>
      </c>
      <c r="G19" s="552">
        <v>0</v>
      </c>
      <c r="H19" s="552">
        <v>0</v>
      </c>
      <c r="I19" s="552">
        <v>0</v>
      </c>
      <c r="J19" s="552">
        <v>0</v>
      </c>
      <c r="K19" s="553">
        <v>0</v>
      </c>
    </row>
    <row r="20" spans="2:13">
      <c r="B20" s="174" t="s">
        <v>295</v>
      </c>
      <c r="C20" s="121" t="s">
        <v>125</v>
      </c>
      <c r="D20" s="551">
        <v>0</v>
      </c>
      <c r="E20" s="552">
        <v>0</v>
      </c>
      <c r="F20" s="552">
        <v>0</v>
      </c>
      <c r="G20" s="552">
        <v>0</v>
      </c>
      <c r="H20" s="552">
        <v>0</v>
      </c>
      <c r="I20" s="552">
        <v>0</v>
      </c>
      <c r="J20" s="552">
        <v>0</v>
      </c>
      <c r="K20" s="553">
        <v>0</v>
      </c>
    </row>
    <row r="21" spans="2:13">
      <c r="B21" s="174" t="s">
        <v>296</v>
      </c>
      <c r="C21" s="121" t="s">
        <v>125</v>
      </c>
      <c r="D21" s="551">
        <v>0</v>
      </c>
      <c r="E21" s="552">
        <v>0</v>
      </c>
      <c r="F21" s="552">
        <v>0</v>
      </c>
      <c r="G21" s="552">
        <v>0</v>
      </c>
      <c r="H21" s="552">
        <v>0</v>
      </c>
      <c r="I21" s="552">
        <v>0</v>
      </c>
      <c r="J21" s="552">
        <v>0</v>
      </c>
      <c r="K21" s="553">
        <v>0</v>
      </c>
    </row>
    <row r="22" spans="2:13">
      <c r="B22" s="174" t="s">
        <v>297</v>
      </c>
      <c r="C22" s="121" t="s">
        <v>125</v>
      </c>
      <c r="D22" s="551">
        <v>0</v>
      </c>
      <c r="E22" s="552">
        <v>0</v>
      </c>
      <c r="F22" s="552">
        <v>0</v>
      </c>
      <c r="G22" s="552">
        <v>0</v>
      </c>
      <c r="H22" s="552">
        <v>0</v>
      </c>
      <c r="I22" s="552">
        <v>0</v>
      </c>
      <c r="J22" s="552">
        <v>0</v>
      </c>
      <c r="K22" s="553">
        <v>0</v>
      </c>
    </row>
    <row r="23" spans="2:13">
      <c r="B23" s="13" t="s">
        <v>313</v>
      </c>
      <c r="C23" s="190" t="s">
        <v>125</v>
      </c>
      <c r="D23" s="554">
        <f>SUM(D10:D22)</f>
        <v>1039.9490000000001</v>
      </c>
      <c r="E23" s="888">
        <f t="shared" ref="E23:K23" si="2">SUM(E10:E22)</f>
        <v>1073.6690000000001</v>
      </c>
      <c r="F23" s="888">
        <f t="shared" si="2"/>
        <v>1166.7890000000002</v>
      </c>
      <c r="G23" s="888">
        <f t="shared" si="2"/>
        <v>1309.509</v>
      </c>
      <c r="H23" s="888">
        <f t="shared" si="2"/>
        <v>1355</v>
      </c>
      <c r="I23" s="888">
        <f t="shared" si="2"/>
        <v>1430.1863352799999</v>
      </c>
      <c r="J23" s="888">
        <f t="shared" si="2"/>
        <v>1453.91136007</v>
      </c>
      <c r="K23" s="889">
        <f t="shared" si="2"/>
        <v>1440.441</v>
      </c>
      <c r="L23" s="2"/>
      <c r="M23" s="263"/>
    </row>
    <row r="24" spans="2:13">
      <c r="B24" s="13"/>
      <c r="C24" s="121"/>
      <c r="D24" s="717"/>
      <c r="E24" s="717"/>
      <c r="F24" s="717"/>
      <c r="G24" s="717"/>
      <c r="H24" s="717"/>
      <c r="I24" s="717"/>
      <c r="J24" s="717"/>
      <c r="K24" s="717"/>
      <c r="L24" s="2"/>
      <c r="M24" s="2"/>
    </row>
    <row r="25" spans="2:13">
      <c r="B25" s="13" t="s">
        <v>120</v>
      </c>
      <c r="C25" s="15"/>
      <c r="D25" s="718"/>
      <c r="E25" s="718"/>
      <c r="F25" s="718"/>
      <c r="G25" s="718"/>
      <c r="H25" s="718"/>
      <c r="I25" s="718"/>
      <c r="J25" s="718"/>
      <c r="K25" s="718"/>
      <c r="L25" s="2"/>
      <c r="M25" s="2"/>
    </row>
    <row r="26" spans="2:13">
      <c r="B26" s="719" t="s">
        <v>523</v>
      </c>
      <c r="C26" s="121" t="s">
        <v>125</v>
      </c>
      <c r="D26" s="305">
        <v>0</v>
      </c>
      <c r="E26" s="306">
        <v>0</v>
      </c>
      <c r="F26" s="306">
        <v>0</v>
      </c>
      <c r="G26" s="306">
        <v>0</v>
      </c>
      <c r="H26" s="306">
        <v>0</v>
      </c>
      <c r="I26" s="306">
        <v>0</v>
      </c>
      <c r="J26" s="306">
        <v>0</v>
      </c>
      <c r="K26" s="310">
        <v>0</v>
      </c>
      <c r="L26" s="2"/>
      <c r="M26" s="2"/>
    </row>
    <row r="27" spans="2:13">
      <c r="B27" s="719" t="s">
        <v>8</v>
      </c>
      <c r="C27" s="121" t="s">
        <v>125</v>
      </c>
      <c r="D27" s="286">
        <v>0</v>
      </c>
      <c r="E27" s="307">
        <v>0</v>
      </c>
      <c r="F27" s="307">
        <v>0</v>
      </c>
      <c r="G27" s="307">
        <v>0</v>
      </c>
      <c r="H27" s="307">
        <v>0</v>
      </c>
      <c r="I27" s="307">
        <v>0</v>
      </c>
      <c r="J27" s="307">
        <v>0</v>
      </c>
      <c r="K27" s="311">
        <v>0</v>
      </c>
      <c r="L27" s="2"/>
      <c r="M27" s="2"/>
    </row>
    <row r="28" spans="2:13">
      <c r="B28" s="719" t="s">
        <v>9</v>
      </c>
      <c r="C28" s="121" t="s">
        <v>125</v>
      </c>
      <c r="D28" s="286">
        <v>0</v>
      </c>
      <c r="E28" s="307">
        <v>0</v>
      </c>
      <c r="F28" s="307">
        <v>0</v>
      </c>
      <c r="G28" s="307">
        <v>0</v>
      </c>
      <c r="H28" s="307">
        <v>0</v>
      </c>
      <c r="I28" s="307">
        <v>0</v>
      </c>
      <c r="J28" s="307">
        <v>0</v>
      </c>
      <c r="K28" s="311">
        <v>0</v>
      </c>
      <c r="L28" s="2"/>
      <c r="M28" s="2"/>
    </row>
    <row r="29" spans="2:13">
      <c r="B29" s="719" t="s">
        <v>10</v>
      </c>
      <c r="C29" s="121" t="s">
        <v>125</v>
      </c>
      <c r="D29" s="286">
        <v>0</v>
      </c>
      <c r="E29" s="307">
        <v>0</v>
      </c>
      <c r="F29" s="307">
        <v>0</v>
      </c>
      <c r="G29" s="307">
        <v>0</v>
      </c>
      <c r="H29" s="307">
        <v>0</v>
      </c>
      <c r="I29" s="307">
        <v>0</v>
      </c>
      <c r="J29" s="307">
        <v>0</v>
      </c>
      <c r="K29" s="311">
        <v>0</v>
      </c>
      <c r="L29" s="2"/>
      <c r="M29" s="2"/>
    </row>
    <row r="30" spans="2:13">
      <c r="B30" s="719" t="s">
        <v>346</v>
      </c>
      <c r="C30" s="121" t="s">
        <v>125</v>
      </c>
      <c r="D30" s="286">
        <v>0</v>
      </c>
      <c r="E30" s="307">
        <v>0</v>
      </c>
      <c r="F30" s="307">
        <v>0</v>
      </c>
      <c r="G30" s="307">
        <v>0</v>
      </c>
      <c r="H30" s="307">
        <v>0</v>
      </c>
      <c r="I30" s="307">
        <v>0</v>
      </c>
      <c r="J30" s="307">
        <v>0</v>
      </c>
      <c r="K30" s="311">
        <v>0</v>
      </c>
    </row>
    <row r="31" spans="2:13">
      <c r="B31" s="719" t="s">
        <v>347</v>
      </c>
      <c r="C31" s="121" t="s">
        <v>125</v>
      </c>
      <c r="D31" s="286">
        <v>0</v>
      </c>
      <c r="E31" s="307">
        <v>0</v>
      </c>
      <c r="F31" s="307">
        <v>0</v>
      </c>
      <c r="G31" s="307">
        <v>0</v>
      </c>
      <c r="H31" s="307">
        <v>0</v>
      </c>
      <c r="I31" s="307">
        <v>0</v>
      </c>
      <c r="J31" s="307">
        <v>0</v>
      </c>
      <c r="K31" s="311">
        <v>0</v>
      </c>
    </row>
    <row r="32" spans="2:13" ht="12.75" customHeight="1">
      <c r="B32" s="719" t="s">
        <v>348</v>
      </c>
      <c r="C32" s="121" t="s">
        <v>125</v>
      </c>
      <c r="D32" s="286">
        <v>0</v>
      </c>
      <c r="E32" s="307">
        <v>0</v>
      </c>
      <c r="F32" s="307">
        <v>0</v>
      </c>
      <c r="G32" s="307">
        <v>0</v>
      </c>
      <c r="H32" s="307">
        <v>0</v>
      </c>
      <c r="I32" s="307">
        <v>0</v>
      </c>
      <c r="J32" s="307">
        <v>0</v>
      </c>
      <c r="K32" s="311">
        <v>0</v>
      </c>
    </row>
    <row r="33" spans="2:12">
      <c r="B33" s="719" t="s">
        <v>349</v>
      </c>
      <c r="C33" s="121" t="s">
        <v>125</v>
      </c>
      <c r="D33" s="286">
        <v>0</v>
      </c>
      <c r="E33" s="307">
        <v>0</v>
      </c>
      <c r="F33" s="307">
        <v>0</v>
      </c>
      <c r="G33" s="307">
        <v>0</v>
      </c>
      <c r="H33" s="307">
        <v>0</v>
      </c>
      <c r="I33" s="307">
        <v>0</v>
      </c>
      <c r="J33" s="307">
        <v>0</v>
      </c>
      <c r="K33" s="311">
        <v>0</v>
      </c>
    </row>
    <row r="34" spans="2:12">
      <c r="B34" s="719" t="s">
        <v>350</v>
      </c>
      <c r="C34" s="121" t="s">
        <v>125</v>
      </c>
      <c r="D34" s="286">
        <v>0</v>
      </c>
      <c r="E34" s="307">
        <v>0</v>
      </c>
      <c r="F34" s="307">
        <v>0</v>
      </c>
      <c r="G34" s="307">
        <v>0</v>
      </c>
      <c r="H34" s="307">
        <v>0</v>
      </c>
      <c r="I34" s="307">
        <v>0</v>
      </c>
      <c r="J34" s="307">
        <v>0</v>
      </c>
      <c r="K34" s="311">
        <v>0</v>
      </c>
    </row>
    <row r="35" spans="2:12">
      <c r="B35" s="719" t="s">
        <v>351</v>
      </c>
      <c r="C35" s="121" t="s">
        <v>125</v>
      </c>
      <c r="D35" s="286">
        <v>0</v>
      </c>
      <c r="E35" s="307">
        <v>0</v>
      </c>
      <c r="F35" s="307">
        <v>0</v>
      </c>
      <c r="G35" s="307">
        <v>0</v>
      </c>
      <c r="H35" s="307">
        <v>0</v>
      </c>
      <c r="I35" s="307">
        <v>0</v>
      </c>
      <c r="J35" s="307">
        <v>0</v>
      </c>
      <c r="K35" s="311">
        <v>0</v>
      </c>
    </row>
    <row r="36" spans="2:12">
      <c r="B36" s="719" t="s">
        <v>352</v>
      </c>
      <c r="C36" s="121" t="s">
        <v>125</v>
      </c>
      <c r="D36" s="286">
        <v>0</v>
      </c>
      <c r="E36" s="307">
        <v>0</v>
      </c>
      <c r="F36" s="307">
        <v>0</v>
      </c>
      <c r="G36" s="307">
        <v>0</v>
      </c>
      <c r="H36" s="307">
        <v>0</v>
      </c>
      <c r="I36" s="307">
        <v>0</v>
      </c>
      <c r="J36" s="307">
        <v>0</v>
      </c>
      <c r="K36" s="311">
        <v>0</v>
      </c>
    </row>
    <row r="37" spans="2:12">
      <c r="B37" s="719" t="s">
        <v>353</v>
      </c>
      <c r="C37" s="121" t="s">
        <v>125</v>
      </c>
      <c r="D37" s="286">
        <v>0</v>
      </c>
      <c r="E37" s="307">
        <v>0</v>
      </c>
      <c r="F37" s="307">
        <v>0</v>
      </c>
      <c r="G37" s="307">
        <v>0</v>
      </c>
      <c r="H37" s="307">
        <v>0</v>
      </c>
      <c r="I37" s="307">
        <v>0</v>
      </c>
      <c r="J37" s="307">
        <v>0</v>
      </c>
      <c r="K37" s="311">
        <v>0</v>
      </c>
    </row>
    <row r="38" spans="2:12">
      <c r="B38" s="719" t="s">
        <v>354</v>
      </c>
      <c r="C38" s="121" t="s">
        <v>125</v>
      </c>
      <c r="D38" s="286">
        <v>0</v>
      </c>
      <c r="E38" s="307">
        <v>0</v>
      </c>
      <c r="F38" s="307">
        <v>0</v>
      </c>
      <c r="G38" s="307">
        <v>0</v>
      </c>
      <c r="H38" s="307">
        <v>0</v>
      </c>
      <c r="I38" s="307">
        <v>0</v>
      </c>
      <c r="J38" s="307">
        <v>0</v>
      </c>
      <c r="K38" s="311">
        <v>0</v>
      </c>
    </row>
    <row r="39" spans="2:12">
      <c r="B39" s="719" t="s">
        <v>355</v>
      </c>
      <c r="C39" s="121" t="s">
        <v>125</v>
      </c>
      <c r="D39" s="286">
        <v>0</v>
      </c>
      <c r="E39" s="307">
        <v>0</v>
      </c>
      <c r="F39" s="307">
        <v>0</v>
      </c>
      <c r="G39" s="307">
        <v>0</v>
      </c>
      <c r="H39" s="307">
        <v>0</v>
      </c>
      <c r="I39" s="307">
        <v>0</v>
      </c>
      <c r="J39" s="307">
        <v>0</v>
      </c>
      <c r="K39" s="311">
        <v>0</v>
      </c>
    </row>
    <row r="40" spans="2:12">
      <c r="B40" s="719" t="s">
        <v>356</v>
      </c>
      <c r="C40" s="121" t="s">
        <v>125</v>
      </c>
      <c r="D40" s="286">
        <v>0</v>
      </c>
      <c r="E40" s="307">
        <v>0</v>
      </c>
      <c r="F40" s="307">
        <v>0</v>
      </c>
      <c r="G40" s="307">
        <v>0</v>
      </c>
      <c r="H40" s="307">
        <v>0</v>
      </c>
      <c r="I40" s="307">
        <v>0</v>
      </c>
      <c r="J40" s="307">
        <v>0</v>
      </c>
      <c r="K40" s="311">
        <v>0</v>
      </c>
    </row>
    <row r="41" spans="2:12">
      <c r="B41" s="719" t="s">
        <v>357</v>
      </c>
      <c r="C41" s="121" t="s">
        <v>125</v>
      </c>
      <c r="D41" s="308">
        <v>0</v>
      </c>
      <c r="E41" s="309">
        <v>0</v>
      </c>
      <c r="F41" s="309">
        <v>0</v>
      </c>
      <c r="G41" s="309">
        <v>0</v>
      </c>
      <c r="H41" s="309">
        <v>0</v>
      </c>
      <c r="I41" s="309">
        <v>0</v>
      </c>
      <c r="J41" s="309">
        <v>0</v>
      </c>
      <c r="K41" s="312">
        <v>0</v>
      </c>
    </row>
    <row r="42" spans="2:12">
      <c r="B42" s="720" t="s">
        <v>230</v>
      </c>
      <c r="C42" s="121" t="s">
        <v>125</v>
      </c>
      <c r="D42" s="561">
        <f>SUM(D23,D26:D41)</f>
        <v>1039.9490000000001</v>
      </c>
      <c r="E42" s="890">
        <f t="shared" ref="E42:K42" si="3">SUM(E23,E26:E41)</f>
        <v>1073.6690000000001</v>
      </c>
      <c r="F42" s="890">
        <f t="shared" si="3"/>
        <v>1166.7890000000002</v>
      </c>
      <c r="G42" s="890">
        <f t="shared" si="3"/>
        <v>1309.509</v>
      </c>
      <c r="H42" s="890">
        <f t="shared" si="3"/>
        <v>1355</v>
      </c>
      <c r="I42" s="890">
        <f t="shared" si="3"/>
        <v>1430.1863352799999</v>
      </c>
      <c r="J42" s="890">
        <f t="shared" si="3"/>
        <v>1453.91136007</v>
      </c>
      <c r="K42" s="890">
        <f t="shared" si="3"/>
        <v>1440.441</v>
      </c>
    </row>
    <row r="43" spans="2:12">
      <c r="B43" s="721" t="s">
        <v>300</v>
      </c>
      <c r="C43" s="121" t="s">
        <v>125</v>
      </c>
      <c r="D43" s="722"/>
      <c r="E43" s="723"/>
      <c r="F43" s="723"/>
      <c r="G43" s="724"/>
      <c r="H43" s="724"/>
      <c r="I43" s="724"/>
      <c r="J43" s="724"/>
      <c r="K43" s="891">
        <v>273.88222940273431</v>
      </c>
    </row>
    <row r="44" spans="2:12">
      <c r="B44" s="720" t="s">
        <v>429</v>
      </c>
      <c r="C44" s="121" t="s">
        <v>125</v>
      </c>
      <c r="D44" s="78">
        <f>SUM(D42:D43)</f>
        <v>1039.9490000000001</v>
      </c>
      <c r="E44" s="79">
        <f t="shared" ref="E44:K44" si="4">SUM(E42:E43)</f>
        <v>1073.6690000000001</v>
      </c>
      <c r="F44" s="79">
        <f t="shared" si="4"/>
        <v>1166.7890000000002</v>
      </c>
      <c r="G44" s="79">
        <f t="shared" si="4"/>
        <v>1309.509</v>
      </c>
      <c r="H44" s="79">
        <f t="shared" si="4"/>
        <v>1355</v>
      </c>
      <c r="I44" s="79">
        <f t="shared" si="4"/>
        <v>1430.1863352799999</v>
      </c>
      <c r="J44" s="79">
        <f t="shared" si="4"/>
        <v>1453.91136007</v>
      </c>
      <c r="K44" s="80">
        <f t="shared" si="4"/>
        <v>1714.3232294027343</v>
      </c>
    </row>
    <row r="45" spans="2:12">
      <c r="D45" s="725" t="s">
        <v>638</v>
      </c>
      <c r="E45" s="726" t="s">
        <v>638</v>
      </c>
      <c r="F45" s="726" t="s">
        <v>638</v>
      </c>
      <c r="G45" s="726" t="s">
        <v>638</v>
      </c>
      <c r="H45" s="726" t="s">
        <v>638</v>
      </c>
      <c r="I45" s="726" t="s">
        <v>638</v>
      </c>
      <c r="J45" s="726" t="s">
        <v>638</v>
      </c>
      <c r="K45" s="727" t="s">
        <v>638</v>
      </c>
    </row>
    <row r="47" spans="2:12">
      <c r="B47" s="728" t="s">
        <v>430</v>
      </c>
      <c r="C47" s="121" t="s">
        <v>125</v>
      </c>
      <c r="D47" s="891">
        <v>1030.9000000000001</v>
      </c>
      <c r="E47" s="79">
        <f>D48</f>
        <v>1039.9490000000001</v>
      </c>
      <c r="F47" s="79">
        <f t="shared" ref="F47:K47" si="5">E48</f>
        <v>1073.6690000000001</v>
      </c>
      <c r="G47" s="79">
        <f t="shared" si="5"/>
        <v>1166.7890000000002</v>
      </c>
      <c r="H47" s="79">
        <f t="shared" si="5"/>
        <v>1309.509</v>
      </c>
      <c r="I47" s="79">
        <f t="shared" si="5"/>
        <v>1355</v>
      </c>
      <c r="J47" s="79">
        <f t="shared" si="5"/>
        <v>1430.1863352799999</v>
      </c>
      <c r="K47" s="80">
        <f t="shared" si="5"/>
        <v>1453.91136007</v>
      </c>
      <c r="L47" s="697"/>
    </row>
    <row r="48" spans="2:12">
      <c r="B48" s="728" t="s">
        <v>431</v>
      </c>
      <c r="C48" s="121" t="s">
        <v>125</v>
      </c>
      <c r="D48" s="476">
        <f>D44</f>
        <v>1039.9490000000001</v>
      </c>
      <c r="E48" s="477">
        <f>E44</f>
        <v>1073.6690000000001</v>
      </c>
      <c r="F48" s="477">
        <f t="shared" ref="F48:K48" si="6">F44</f>
        <v>1166.7890000000002</v>
      </c>
      <c r="G48" s="477">
        <f t="shared" si="6"/>
        <v>1309.509</v>
      </c>
      <c r="H48" s="477">
        <f t="shared" si="6"/>
        <v>1355</v>
      </c>
      <c r="I48" s="477">
        <f t="shared" si="6"/>
        <v>1430.1863352799999</v>
      </c>
      <c r="J48" s="477">
        <f t="shared" si="6"/>
        <v>1453.91136007</v>
      </c>
      <c r="K48" s="630">
        <f t="shared" si="6"/>
        <v>1714.3232294027343</v>
      </c>
      <c r="L48" s="697"/>
    </row>
    <row r="49" spans="2:13">
      <c r="D49" s="729"/>
      <c r="E49" s="729"/>
      <c r="F49" s="729"/>
      <c r="G49" s="729"/>
      <c r="H49" s="729"/>
      <c r="I49" s="729"/>
      <c r="J49" s="729"/>
      <c r="K49" s="729"/>
    </row>
    <row r="50" spans="2:13">
      <c r="B50" s="13" t="s">
        <v>121</v>
      </c>
    </row>
    <row r="51" spans="2:13">
      <c r="B51" t="s">
        <v>122</v>
      </c>
      <c r="C51" s="697" t="s">
        <v>7</v>
      </c>
      <c r="D51" s="892">
        <v>0</v>
      </c>
      <c r="E51" s="893">
        <v>0</v>
      </c>
      <c r="F51" s="893">
        <v>0</v>
      </c>
      <c r="G51" s="893">
        <v>0</v>
      </c>
      <c r="H51" s="893">
        <v>0</v>
      </c>
      <c r="I51" s="893">
        <v>0</v>
      </c>
      <c r="J51" s="893">
        <v>0</v>
      </c>
      <c r="K51" s="894">
        <v>0</v>
      </c>
    </row>
    <row r="52" spans="2:13">
      <c r="B52" t="s">
        <v>123</v>
      </c>
      <c r="C52" s="697" t="s">
        <v>7</v>
      </c>
      <c r="D52" s="730">
        <f>1-D51</f>
        <v>1</v>
      </c>
      <c r="E52" s="731">
        <f t="shared" ref="E52:K52" si="7">1-E51</f>
        <v>1</v>
      </c>
      <c r="F52" s="731">
        <f t="shared" si="7"/>
        <v>1</v>
      </c>
      <c r="G52" s="731">
        <f t="shared" si="7"/>
        <v>1</v>
      </c>
      <c r="H52" s="731">
        <f t="shared" si="7"/>
        <v>1</v>
      </c>
      <c r="I52" s="731">
        <f t="shared" si="7"/>
        <v>1</v>
      </c>
      <c r="J52" s="731">
        <f t="shared" si="7"/>
        <v>1</v>
      </c>
      <c r="K52" s="732">
        <f t="shared" si="7"/>
        <v>1</v>
      </c>
    </row>
    <row r="53" spans="2:13">
      <c r="C53" s="697"/>
      <c r="D53" s="829"/>
      <c r="E53" s="829"/>
      <c r="F53" s="829"/>
      <c r="G53" s="829"/>
      <c r="H53" s="829"/>
      <c r="I53" s="829"/>
      <c r="J53" s="829"/>
      <c r="K53" s="829"/>
      <c r="L53" s="697"/>
    </row>
    <row r="54" spans="2:13">
      <c r="B54" t="s">
        <v>453</v>
      </c>
      <c r="C54" s="121" t="s">
        <v>125</v>
      </c>
      <c r="D54" s="733">
        <f>AVERAGE(D47:D48)*D52</f>
        <v>1035.4245000000001</v>
      </c>
      <c r="E54" s="734">
        <f t="shared" ref="E54:K54" si="8">AVERAGE(E47:E48)*E52</f>
        <v>1056.8090000000002</v>
      </c>
      <c r="F54" s="734">
        <f t="shared" si="8"/>
        <v>1120.2290000000003</v>
      </c>
      <c r="G54" s="734">
        <f t="shared" si="8"/>
        <v>1238.1490000000001</v>
      </c>
      <c r="H54" s="734">
        <f t="shared" si="8"/>
        <v>1332.2545</v>
      </c>
      <c r="I54" s="734">
        <f t="shared" si="8"/>
        <v>1392.59316764</v>
      </c>
      <c r="J54" s="734">
        <f t="shared" si="8"/>
        <v>1442.0488476749999</v>
      </c>
      <c r="K54" s="735">
        <f t="shared" si="8"/>
        <v>1584.1172947363671</v>
      </c>
    </row>
    <row r="55" spans="2:13">
      <c r="B55" t="s">
        <v>266</v>
      </c>
      <c r="C55" s="121" t="s">
        <v>125</v>
      </c>
      <c r="D55" s="555">
        <f>D56-D54</f>
        <v>607.70434072869284</v>
      </c>
      <c r="E55" s="556">
        <f t="shared" ref="E55:K55" si="9">E56-E54</f>
        <v>681.53130893867137</v>
      </c>
      <c r="F55" s="556">
        <f t="shared" si="9"/>
        <v>735.74857858953328</v>
      </c>
      <c r="G55" s="556">
        <f t="shared" si="9"/>
        <v>738.43998523706091</v>
      </c>
      <c r="H55" s="556">
        <f t="shared" si="9"/>
        <v>743.24480435576515</v>
      </c>
      <c r="I55" s="556">
        <f t="shared" si="9"/>
        <v>751.58331286689327</v>
      </c>
      <c r="J55" s="556">
        <f t="shared" si="9"/>
        <v>861.17757385889286</v>
      </c>
      <c r="K55" s="557">
        <f t="shared" si="9"/>
        <v>968.43848792252902</v>
      </c>
    </row>
    <row r="56" spans="2:13">
      <c r="B56" t="s">
        <v>500</v>
      </c>
      <c r="C56" s="121" t="s">
        <v>125</v>
      </c>
      <c r="D56" s="649">
        <f>IF(D6='RFPR cover'!$C$13,AVERAGE(('R9 - RAV'!D16*'R9 - RAV'!D36),'R9 - RAV'!D38),AVERAGE('R9 - RAV'!C38:D38))</f>
        <v>1643.1288407286929</v>
      </c>
      <c r="E56" s="895">
        <f>IF(E6='RFPR cover'!$C$13,AVERAGE(('R9 - RAV'!E16*'R9 - RAV'!E36),'R9 - RAV'!E38),AVERAGE('R9 - RAV'!D38:E38))</f>
        <v>1738.3403089386716</v>
      </c>
      <c r="F56" s="895">
        <f>IF(F6='RFPR cover'!$C$13,AVERAGE(('R9 - RAV'!F16*'R9 - RAV'!F36),'R9 - RAV'!F38),AVERAGE('R9 - RAV'!E38:F38))</f>
        <v>1855.9775785895336</v>
      </c>
      <c r="G56" s="895">
        <f>IF(G6='RFPR cover'!$C$13,AVERAGE(('R9 - RAV'!G16*'R9 - RAV'!G36),'R9 - RAV'!G38),AVERAGE('R9 - RAV'!F38:G38))</f>
        <v>1976.588985237061</v>
      </c>
      <c r="H56" s="895">
        <f>IF(H6='RFPR cover'!$C$13,AVERAGE(('R9 - RAV'!H16*'R9 - RAV'!H36),'R9 - RAV'!H38),AVERAGE('R9 - RAV'!G38:H38))</f>
        <v>2075.4993043557652</v>
      </c>
      <c r="I56" s="895">
        <f>IF(I6='RFPR cover'!$C$13,AVERAGE(('R9 - RAV'!I16*'R9 - RAV'!I36),'R9 - RAV'!I38),AVERAGE('R9 - RAV'!H38:I38))</f>
        <v>2144.1764805068933</v>
      </c>
      <c r="J56" s="895">
        <f>IF(J6='RFPR cover'!$C$13,AVERAGE(('R9 - RAV'!J16*'R9 - RAV'!J36),'R9 - RAV'!J38),AVERAGE('R9 - RAV'!I38:J38))</f>
        <v>2303.2264215338928</v>
      </c>
      <c r="K56" s="896">
        <f>IF(K6='RFPR cover'!$C$13,AVERAGE(('R9 - RAV'!K16*'R9 - RAV'!K36),'R9 - RAV'!K38),AVERAGE('R9 - RAV'!J38:K38))</f>
        <v>2552.5557826588961</v>
      </c>
    </row>
    <row r="57" spans="2:13">
      <c r="B57" t="s">
        <v>231</v>
      </c>
      <c r="C57" s="121" t="s">
        <v>7</v>
      </c>
      <c r="D57" s="186">
        <f>D54/D56</f>
        <v>0.63015417557932418</v>
      </c>
      <c r="E57" s="187">
        <f t="shared" ref="E57:K57" si="10">E54/E56</f>
        <v>0.60794137636101053</v>
      </c>
      <c r="F57" s="187">
        <f t="shared" si="10"/>
        <v>0.60357895101907866</v>
      </c>
      <c r="G57" s="187">
        <f t="shared" si="10"/>
        <v>0.62640691071720378</v>
      </c>
      <c r="H57" s="187">
        <f t="shared" si="10"/>
        <v>0.64189590292998522</v>
      </c>
      <c r="I57" s="187">
        <f t="shared" si="10"/>
        <v>0.64947693452489719</v>
      </c>
      <c r="J57" s="187">
        <f t="shared" si="10"/>
        <v>0.62609947254540022</v>
      </c>
      <c r="K57" s="188">
        <f t="shared" si="10"/>
        <v>0.62060046072186326</v>
      </c>
    </row>
    <row r="58" spans="2:13">
      <c r="B58" t="s">
        <v>112</v>
      </c>
      <c r="C58" s="121" t="s">
        <v>7</v>
      </c>
      <c r="D58" s="650">
        <f>'RFPR cover'!$C$12</f>
        <v>0.65</v>
      </c>
      <c r="E58" s="651">
        <f>'RFPR cover'!$C$12</f>
        <v>0.65</v>
      </c>
      <c r="F58" s="651">
        <f>'RFPR cover'!$C$12</f>
        <v>0.65</v>
      </c>
      <c r="G58" s="651">
        <f>'RFPR cover'!$C$12</f>
        <v>0.65</v>
      </c>
      <c r="H58" s="651">
        <f>'RFPR cover'!$C$12</f>
        <v>0.65</v>
      </c>
      <c r="I58" s="651">
        <f>'RFPR cover'!$C$12</f>
        <v>0.65</v>
      </c>
      <c r="J58" s="651">
        <f>'RFPR cover'!$C$12</f>
        <v>0.65</v>
      </c>
      <c r="K58" s="652">
        <f>'RFPR cover'!$C$12</f>
        <v>0.65</v>
      </c>
    </row>
    <row r="59" spans="2:13">
      <c r="B59" t="s">
        <v>232</v>
      </c>
      <c r="C59" s="121" t="s">
        <v>7</v>
      </c>
      <c r="D59" s="191">
        <f t="shared" ref="D59:K59" si="11">IF(ISBLANK(D23),"n/a",D57-D58)</f>
        <v>-1.9845824420675839E-2</v>
      </c>
      <c r="E59" s="192">
        <f t="shared" si="11"/>
        <v>-4.205862363898949E-2</v>
      </c>
      <c r="F59" s="192">
        <f t="shared" si="11"/>
        <v>-4.6421048980921364E-2</v>
      </c>
      <c r="G59" s="192">
        <f t="shared" si="11"/>
        <v>-2.3593089282796242E-2</v>
      </c>
      <c r="H59" s="192">
        <f t="shared" si="11"/>
        <v>-8.1040970700148041E-3</v>
      </c>
      <c r="I59" s="192">
        <f t="shared" si="11"/>
        <v>-5.2306547510283519E-4</v>
      </c>
      <c r="J59" s="192">
        <f t="shared" si="11"/>
        <v>-2.3900527454599807E-2</v>
      </c>
      <c r="K59" s="193">
        <f t="shared" si="11"/>
        <v>-2.9399539278136766E-2</v>
      </c>
    </row>
    <row r="61" spans="2:13">
      <c r="B61" t="s">
        <v>507</v>
      </c>
      <c r="C61" s="737" t="str">
        <f>'RFPR cover'!$C$14</f>
        <v>£m 12/13</v>
      </c>
      <c r="D61" s="897">
        <f>D63*D57</f>
        <v>958.57388151914813</v>
      </c>
      <c r="E61" s="559">
        <f t="shared" ref="E61:J61" si="12">E63*E57</f>
        <v>955.75635036519407</v>
      </c>
      <c r="F61" s="559">
        <f t="shared" si="12"/>
        <v>980.77277167102648</v>
      </c>
      <c r="G61" s="559">
        <f t="shared" si="12"/>
        <v>1052.6859464721445</v>
      </c>
      <c r="H61" s="559">
        <f t="shared" si="12"/>
        <v>1106.9423660987748</v>
      </c>
      <c r="I61" s="559">
        <f t="shared" si="12"/>
        <v>1133.63715327465</v>
      </c>
      <c r="J61" s="559">
        <f t="shared" si="12"/>
        <v>1105.8400909214627</v>
      </c>
      <c r="K61" s="560">
        <f>K63*K57</f>
        <v>1113.7674485149046</v>
      </c>
      <c r="M61" s="262"/>
    </row>
    <row r="62" spans="2:13">
      <c r="B62" t="s">
        <v>505</v>
      </c>
      <c r="C62" s="737" t="str">
        <f>'RFPR cover'!$C$14</f>
        <v>£m 12/13</v>
      </c>
      <c r="D62" s="530">
        <f>D63*(1-D57)</f>
        <v>562.59969578500215</v>
      </c>
      <c r="E62" s="531">
        <f t="shared" ref="E62:K62" si="13">E63*(1-E57)</f>
        <v>616.36291561752205</v>
      </c>
      <c r="F62" s="531">
        <f t="shared" si="13"/>
        <v>644.15594728959377</v>
      </c>
      <c r="G62" s="531">
        <f t="shared" si="13"/>
        <v>627.82863352645904</v>
      </c>
      <c r="H62" s="531">
        <f t="shared" si="13"/>
        <v>617.54654409063096</v>
      </c>
      <c r="I62" s="531">
        <f t="shared" si="13"/>
        <v>611.82460681683619</v>
      </c>
      <c r="J62" s="531">
        <f t="shared" si="13"/>
        <v>660.39696790512039</v>
      </c>
      <c r="K62" s="532">
        <f t="shared" si="13"/>
        <v>680.893559663215</v>
      </c>
      <c r="M62" s="262"/>
    </row>
    <row r="63" spans="2:13">
      <c r="B63" t="s">
        <v>506</v>
      </c>
      <c r="C63" s="737" t="str">
        <f>'RFPR cover'!$C$14</f>
        <v>£m 12/13</v>
      </c>
      <c r="D63" s="649">
        <f>'R9 - RAV'!D47</f>
        <v>1521.1735773041503</v>
      </c>
      <c r="E63" s="895">
        <f>'R9 - RAV'!E47</f>
        <v>1572.1192659827161</v>
      </c>
      <c r="F63" s="895">
        <f>'R9 - RAV'!F47</f>
        <v>1624.9287189606202</v>
      </c>
      <c r="G63" s="895">
        <f>'R9 - RAV'!G47</f>
        <v>1680.5145799986035</v>
      </c>
      <c r="H63" s="895">
        <f>'R9 - RAV'!H47</f>
        <v>1724.4889101894057</v>
      </c>
      <c r="I63" s="895">
        <f>'R9 - RAV'!I47</f>
        <v>1745.4617600914862</v>
      </c>
      <c r="J63" s="895">
        <f>'R9 - RAV'!J47</f>
        <v>1766.2370588265831</v>
      </c>
      <c r="K63" s="896">
        <f>'R9 - RAV'!K47</f>
        <v>1794.6610081781196</v>
      </c>
    </row>
    <row r="64" spans="2:13">
      <c r="B64" t="s">
        <v>231</v>
      </c>
      <c r="C64" s="121" t="s">
        <v>7</v>
      </c>
      <c r="D64" s="186">
        <f>D61/D63</f>
        <v>0.63015417557932418</v>
      </c>
      <c r="E64" s="187">
        <f t="shared" ref="E64:K64" si="14">E61/E63</f>
        <v>0.60794137636101053</v>
      </c>
      <c r="F64" s="187">
        <f t="shared" si="14"/>
        <v>0.60357895101907866</v>
      </c>
      <c r="G64" s="187">
        <f t="shared" si="14"/>
        <v>0.62640691071720378</v>
      </c>
      <c r="H64" s="187">
        <f t="shared" si="14"/>
        <v>0.64189590292998522</v>
      </c>
      <c r="I64" s="187">
        <f t="shared" si="14"/>
        <v>0.64947693452489719</v>
      </c>
      <c r="J64" s="187">
        <f t="shared" si="14"/>
        <v>0.62609947254540022</v>
      </c>
      <c r="K64" s="188">
        <f t="shared" si="14"/>
        <v>0.62060046072186326</v>
      </c>
    </row>
    <row r="65" spans="2:11">
      <c r="B65" t="s">
        <v>112</v>
      </c>
      <c r="C65" s="121" t="s">
        <v>7</v>
      </c>
      <c r="D65" s="650">
        <f>'RFPR cover'!$C$12</f>
        <v>0.65</v>
      </c>
      <c r="E65" s="651">
        <f>'RFPR cover'!$C$12</f>
        <v>0.65</v>
      </c>
      <c r="F65" s="651">
        <f>'RFPR cover'!$C$12</f>
        <v>0.65</v>
      </c>
      <c r="G65" s="651">
        <f>'RFPR cover'!$C$12</f>
        <v>0.65</v>
      </c>
      <c r="H65" s="651">
        <f>'RFPR cover'!$C$12</f>
        <v>0.65</v>
      </c>
      <c r="I65" s="651">
        <f>'RFPR cover'!$C$12</f>
        <v>0.65</v>
      </c>
      <c r="J65" s="651">
        <f>'RFPR cover'!$C$12</f>
        <v>0.65</v>
      </c>
      <c r="K65" s="652">
        <f>'RFPR cover'!$C$12</f>
        <v>0.65</v>
      </c>
    </row>
    <row r="66" spans="2:11">
      <c r="B66" t="s">
        <v>232</v>
      </c>
      <c r="C66" s="121" t="s">
        <v>7</v>
      </c>
      <c r="D66" s="191">
        <f t="shared" ref="D66:K66" si="15">IF(ISBLANK(D23),"n/a",D64-D65)</f>
        <v>-1.9845824420675839E-2</v>
      </c>
      <c r="E66" s="192">
        <f t="shared" si="15"/>
        <v>-4.205862363898949E-2</v>
      </c>
      <c r="F66" s="192">
        <f t="shared" si="15"/>
        <v>-4.6421048980921364E-2</v>
      </c>
      <c r="G66" s="192">
        <f t="shared" si="15"/>
        <v>-2.3593089282796242E-2</v>
      </c>
      <c r="H66" s="192">
        <f t="shared" si="15"/>
        <v>-8.1040970700148041E-3</v>
      </c>
      <c r="I66" s="192">
        <f t="shared" si="15"/>
        <v>-5.2306547510283519E-4</v>
      </c>
      <c r="J66" s="192">
        <f t="shared" si="15"/>
        <v>-2.3900527454599807E-2</v>
      </c>
      <c r="K66" s="193">
        <f t="shared" si="15"/>
        <v>-2.9399539278136766E-2</v>
      </c>
    </row>
  </sheetData>
  <conditionalFormatting sqref="D6:K6">
    <cfRule type="expression" dxfId="56" priority="2">
      <formula>AND(D$5="Actuals",E$5="Forecast")</formula>
    </cfRule>
  </conditionalFormatting>
  <conditionalFormatting sqref="D5:K5">
    <cfRule type="expression" dxfId="55" priority="1">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&amp;C&amp;1#&amp;"Calibri"&amp;12&amp;K008000Internal Use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100.125" customWidth="1"/>
    <col min="3" max="3" width="14.125" style="160" customWidth="1"/>
    <col min="4" max="11" width="11.125" customWidth="1"/>
    <col min="12" max="12" width="5" customWidth="1"/>
    <col min="13" max="13" width="10.5" bestFit="1" customWidth="1"/>
    <col min="14" max="14" width="10.5" style="174" bestFit="1" customWidth="1"/>
  </cols>
  <sheetData>
    <row r="1" spans="1:14" s="27" customFormat="1" ht="20.25">
      <c r="A1" s="671" t="s">
        <v>117</v>
      </c>
      <c r="B1" s="689"/>
      <c r="C1" s="323"/>
      <c r="D1" s="102"/>
      <c r="E1" s="102"/>
      <c r="F1" s="102"/>
      <c r="G1" s="102"/>
      <c r="H1" s="102"/>
      <c r="I1" s="104"/>
      <c r="J1" s="104"/>
      <c r="K1" s="105"/>
      <c r="L1" s="296"/>
      <c r="N1" s="173"/>
    </row>
    <row r="2" spans="1:14" s="27" customFormat="1" ht="20.25">
      <c r="A2" s="674" t="str">
        <f>'RFPR cover'!C5</f>
        <v>SPMW</v>
      </c>
      <c r="B2" s="666"/>
      <c r="C2" s="182"/>
      <c r="D2" s="25"/>
      <c r="E2" s="25"/>
      <c r="F2" s="25"/>
      <c r="G2" s="25"/>
      <c r="H2" s="25"/>
      <c r="I2" s="24"/>
      <c r="J2" s="24"/>
      <c r="K2" s="24"/>
      <c r="L2" s="103"/>
      <c r="N2" s="173"/>
    </row>
    <row r="3" spans="1:14" s="27" customFormat="1" ht="20.25">
      <c r="A3" s="677">
        <f>'RFPR cover'!C7</f>
        <v>2022</v>
      </c>
      <c r="B3" s="684"/>
      <c r="C3" s="324"/>
      <c r="D3" s="212"/>
      <c r="E3" s="212"/>
      <c r="F3" s="212"/>
      <c r="G3" s="212"/>
      <c r="H3" s="212"/>
      <c r="I3" s="208"/>
      <c r="J3" s="208"/>
      <c r="K3" s="208"/>
      <c r="L3" s="213"/>
      <c r="N3" s="173"/>
    </row>
    <row r="4" spans="1:14" s="2" customFormat="1" ht="12.75" customHeight="1">
      <c r="C4" s="1"/>
      <c r="N4" s="106"/>
    </row>
    <row r="5" spans="1:14" s="2" customFormat="1">
      <c r="B5" s="32"/>
      <c r="C5" s="183"/>
      <c r="D5" s="316" t="str">
        <f>IF(D6&lt;='RFPR cover'!$C$7-1,"Actuals","Forecast")</f>
        <v>Actuals</v>
      </c>
      <c r="E5" s="316" t="str">
        <f>IF(E6&lt;='RFPR cover'!$C$7-1,"Actuals","Forecast")</f>
        <v>Actuals</v>
      </c>
      <c r="F5" s="316" t="str">
        <f>IF(F6&lt;='RFPR cover'!$C$7-1,"Actuals","Forecast")</f>
        <v>Actuals</v>
      </c>
      <c r="G5" s="316" t="str">
        <f>IF(G6&lt;='RFPR cover'!$C$7-1,"Actuals","Forecast")</f>
        <v>Actuals</v>
      </c>
      <c r="H5" s="316" t="str">
        <f>IF(H6&lt;='RFPR cover'!$C$7-1,"Actuals","Forecast")</f>
        <v>Actuals</v>
      </c>
      <c r="I5" s="316" t="str">
        <f>IF(I6&lt;='RFPR cover'!$C$7-1,"Actuals","Forecast")</f>
        <v>Actuals</v>
      </c>
      <c r="J5" s="316" t="str">
        <f>IF(J6&lt;='RFPR cover'!$C$7-1,"Actuals","Forecast")</f>
        <v>Forecast</v>
      </c>
      <c r="K5" s="316" t="str">
        <f>IF(K6&lt;='RFPR cover'!$C$7-1,"Actuals","Forecast")</f>
        <v>Forecast</v>
      </c>
      <c r="N5" s="106"/>
    </row>
    <row r="6" spans="1:14" s="2" customFormat="1">
      <c r="C6" s="1"/>
      <c r="D6" s="99">
        <f>'RFPR cover'!$C$13</f>
        <v>2016</v>
      </c>
      <c r="E6" s="100">
        <f>D6+1</f>
        <v>2017</v>
      </c>
      <c r="F6" s="100">
        <f t="shared" ref="F6:K6" si="0">E6+1</f>
        <v>2018</v>
      </c>
      <c r="G6" s="100">
        <f t="shared" si="0"/>
        <v>2019</v>
      </c>
      <c r="H6" s="100">
        <f t="shared" si="0"/>
        <v>2020</v>
      </c>
      <c r="I6" s="100">
        <f t="shared" si="0"/>
        <v>2021</v>
      </c>
      <c r="J6" s="100">
        <f t="shared" si="0"/>
        <v>2022</v>
      </c>
      <c r="K6" s="157">
        <f t="shared" si="0"/>
        <v>2023</v>
      </c>
      <c r="N6" s="106"/>
    </row>
    <row r="7" spans="1:14" s="2" customFormat="1">
      <c r="A7" s="30"/>
      <c r="B7" s="30"/>
      <c r="C7" s="260"/>
      <c r="D7" s="355"/>
      <c r="E7" s="355"/>
      <c r="F7" s="355"/>
      <c r="G7" s="355"/>
      <c r="H7" s="355"/>
      <c r="I7" s="355"/>
      <c r="J7" s="355"/>
      <c r="K7" s="355"/>
      <c r="L7" s="30"/>
      <c r="M7" s="30"/>
      <c r="N7" s="185"/>
    </row>
    <row r="8" spans="1:14" s="2" customFormat="1">
      <c r="B8" s="12" t="s">
        <v>317</v>
      </c>
      <c r="N8" s="106"/>
    </row>
    <row r="9" spans="1:14" s="2" customFormat="1">
      <c r="B9" s="301" t="s">
        <v>316</v>
      </c>
      <c r="C9" s="301"/>
      <c r="D9" s="301"/>
      <c r="E9" s="301"/>
      <c r="F9" s="301"/>
      <c r="G9" s="301"/>
      <c r="H9" s="301"/>
      <c r="I9" s="301"/>
      <c r="J9" s="301"/>
      <c r="K9" s="301"/>
      <c r="L9" s="301"/>
      <c r="N9" s="106"/>
    </row>
    <row r="10" spans="1:14" s="30" customFormat="1">
      <c r="B10" s="354"/>
      <c r="C10" s="354"/>
      <c r="D10" s="354"/>
      <c r="E10" s="354"/>
      <c r="F10" s="354"/>
      <c r="G10" s="354"/>
      <c r="H10" s="354"/>
      <c r="I10" s="354"/>
      <c r="J10" s="354"/>
      <c r="K10" s="354"/>
      <c r="L10" s="354"/>
      <c r="N10" s="185"/>
    </row>
    <row r="11" spans="1:14" s="2" customFormat="1">
      <c r="B11" s="161" t="s">
        <v>315</v>
      </c>
      <c r="C11" s="171" t="str">
        <f>'RFPR cover'!$C$14</f>
        <v>£m 12/13</v>
      </c>
      <c r="D11" s="562">
        <v>1578.0241361232056</v>
      </c>
      <c r="E11" s="898">
        <v>1634.5558253400163</v>
      </c>
      <c r="F11" s="898">
        <v>1680.2027249925452</v>
      </c>
      <c r="G11" s="898">
        <v>1719.0586344262936</v>
      </c>
      <c r="H11" s="898">
        <v>1749.2889849649116</v>
      </c>
      <c r="I11" s="898">
        <v>1772.4337665092473</v>
      </c>
      <c r="J11" s="898">
        <v>1795.0474144235197</v>
      </c>
      <c r="K11" s="899">
        <v>1803.2693533010477</v>
      </c>
      <c r="N11" s="106"/>
    </row>
    <row r="12" spans="1:14" s="2" customFormat="1">
      <c r="N12" s="106"/>
    </row>
    <row r="13" spans="1:14" s="2" customFormat="1">
      <c r="B13" s="12" t="s">
        <v>318</v>
      </c>
      <c r="C13" s="1"/>
      <c r="D13" s="1"/>
      <c r="E13" s="1"/>
      <c r="F13" s="1"/>
      <c r="G13" s="1"/>
      <c r="H13" s="1"/>
      <c r="I13" s="1"/>
      <c r="J13" s="1"/>
      <c r="K13" s="1"/>
      <c r="N13" s="106"/>
    </row>
    <row r="14" spans="1:14" s="2" customFormat="1">
      <c r="B14" s="301" t="s">
        <v>340</v>
      </c>
      <c r="C14" s="261"/>
      <c r="D14" s="261"/>
      <c r="E14" s="261"/>
      <c r="F14" s="261"/>
      <c r="G14" s="261"/>
      <c r="H14" s="261"/>
      <c r="I14" s="261"/>
      <c r="J14" s="261"/>
      <c r="K14" s="261"/>
      <c r="L14" s="234"/>
      <c r="N14" s="106"/>
    </row>
    <row r="15" spans="1:14" s="30" customFormat="1">
      <c r="B15" s="354"/>
      <c r="C15" s="260"/>
      <c r="D15" s="1"/>
      <c r="E15" s="1"/>
      <c r="F15" s="1"/>
      <c r="G15" s="1"/>
      <c r="H15" s="1"/>
      <c r="I15" s="1"/>
      <c r="J15" s="1"/>
      <c r="K15" s="1"/>
      <c r="N15" s="185"/>
    </row>
    <row r="16" spans="1:14" s="2" customFormat="1">
      <c r="B16" s="318" t="s">
        <v>319</v>
      </c>
      <c r="C16" s="171" t="str">
        <f>'RFPR cover'!$C$14</f>
        <v>£m 12/13</v>
      </c>
      <c r="D16" s="562">
        <v>1525.0434179190702</v>
      </c>
      <c r="E16" s="563">
        <f>D29</f>
        <v>1574.316424595328</v>
      </c>
      <c r="F16" s="563">
        <f t="shared" ref="F16:K16" si="1">E29</f>
        <v>1627.5853463738079</v>
      </c>
      <c r="G16" s="563">
        <f t="shared" si="1"/>
        <v>1680.487325552612</v>
      </c>
      <c r="H16" s="563">
        <f t="shared" si="1"/>
        <v>1738.6633737888615</v>
      </c>
      <c r="I16" s="563">
        <f t="shared" si="1"/>
        <v>1767.798115139838</v>
      </c>
      <c r="J16" s="563">
        <f t="shared" si="1"/>
        <v>1779.2475994853894</v>
      </c>
      <c r="K16" s="483">
        <f t="shared" si="1"/>
        <v>1808.5057502856068</v>
      </c>
      <c r="N16" s="106"/>
    </row>
    <row r="17" spans="2:14" s="2" customFormat="1">
      <c r="B17" s="318" t="s">
        <v>320</v>
      </c>
      <c r="C17" s="171" t="str">
        <f>'RFPR cover'!$C$14</f>
        <v>£m 12/13</v>
      </c>
      <c r="D17" s="562">
        <v>0</v>
      </c>
      <c r="E17" s="898">
        <v>0</v>
      </c>
      <c r="F17" s="898">
        <v>0</v>
      </c>
      <c r="G17" s="898">
        <v>0</v>
      </c>
      <c r="H17" s="898">
        <v>0</v>
      </c>
      <c r="I17" s="898">
        <v>0</v>
      </c>
      <c r="J17" s="898">
        <v>0</v>
      </c>
      <c r="K17" s="899">
        <v>0</v>
      </c>
      <c r="N17" s="106"/>
    </row>
    <row r="18" spans="2:14" s="2" customFormat="1">
      <c r="B18" s="12" t="s">
        <v>321</v>
      </c>
      <c r="C18" s="171" t="str">
        <f>'RFPR cover'!$C$14</f>
        <v>£m 12/13</v>
      </c>
      <c r="D18" s="564">
        <f>SUM(D16:D17)</f>
        <v>1525.0434179190702</v>
      </c>
      <c r="E18" s="565">
        <f t="shared" ref="E18:K18" si="2">SUM(E16:E17)</f>
        <v>1574.316424595328</v>
      </c>
      <c r="F18" s="565">
        <f t="shared" si="2"/>
        <v>1627.5853463738079</v>
      </c>
      <c r="G18" s="565">
        <f t="shared" si="2"/>
        <v>1680.487325552612</v>
      </c>
      <c r="H18" s="565">
        <f t="shared" si="2"/>
        <v>1738.6633737888615</v>
      </c>
      <c r="I18" s="565">
        <f t="shared" si="2"/>
        <v>1767.798115139838</v>
      </c>
      <c r="J18" s="565">
        <f t="shared" si="2"/>
        <v>1779.2475994853894</v>
      </c>
      <c r="K18" s="566">
        <f t="shared" si="2"/>
        <v>1808.5057502856068</v>
      </c>
      <c r="N18" s="106"/>
    </row>
    <row r="19" spans="2:14" s="2" customFormat="1">
      <c r="B19" s="320" t="s">
        <v>322</v>
      </c>
      <c r="C19" s="171" t="str">
        <f>'RFPR cover'!$C$14</f>
        <v>£m 12/13</v>
      </c>
      <c r="D19" s="480">
        <v>185.38182735890092</v>
      </c>
      <c r="E19" s="481">
        <v>193.26897291911357</v>
      </c>
      <c r="F19" s="481">
        <v>185.90278009227768</v>
      </c>
      <c r="G19" s="481">
        <v>182.19723489716034</v>
      </c>
      <c r="H19" s="481">
        <v>173.64379520270279</v>
      </c>
      <c r="I19" s="481">
        <v>167.04938454954873</v>
      </c>
      <c r="J19" s="481">
        <v>165.19637645128387</v>
      </c>
      <c r="K19" s="853">
        <v>164.17568422022191</v>
      </c>
      <c r="N19" s="106"/>
    </row>
    <row r="20" spans="2:14" s="2" customFormat="1">
      <c r="B20" s="320" t="s">
        <v>329</v>
      </c>
      <c r="C20" s="171" t="str">
        <f>'RFPR cover'!$C$14</f>
        <v>£m 12/13</v>
      </c>
      <c r="D20" s="854">
        <v>-3.7058701000560177</v>
      </c>
      <c r="E20" s="855">
        <v>-3.423100909806692</v>
      </c>
      <c r="F20" s="855">
        <v>6.9643422106164223</v>
      </c>
      <c r="G20" s="855">
        <v>19.266485476990908</v>
      </c>
      <c r="H20" s="855">
        <v>-0.55644757539801049</v>
      </c>
      <c r="I20" s="855">
        <v>-11.171755167605113</v>
      </c>
      <c r="J20" s="855">
        <v>-2.9962561752197701</v>
      </c>
      <c r="K20" s="856">
        <v>-4.3659732838916341</v>
      </c>
      <c r="N20" s="106"/>
    </row>
    <row r="21" spans="2:14" s="2" customFormat="1">
      <c r="B21" s="319" t="s">
        <v>325</v>
      </c>
      <c r="C21" s="171" t="str">
        <f>'RFPR cover'!$C$14</f>
        <v>£m 12/13</v>
      </c>
      <c r="D21" s="564">
        <f t="shared" ref="D21:K21" si="3">SUM(D19:D20)</f>
        <v>181.6759572588449</v>
      </c>
      <c r="E21" s="565">
        <f t="shared" si="3"/>
        <v>189.84587200930687</v>
      </c>
      <c r="F21" s="565">
        <f t="shared" si="3"/>
        <v>192.8671223028941</v>
      </c>
      <c r="G21" s="565">
        <f t="shared" si="3"/>
        <v>201.46372037415125</v>
      </c>
      <c r="H21" s="565">
        <f t="shared" si="3"/>
        <v>173.08734762730478</v>
      </c>
      <c r="I21" s="565">
        <f t="shared" si="3"/>
        <v>155.87762938194362</v>
      </c>
      <c r="J21" s="565">
        <f t="shared" si="3"/>
        <v>162.2001202760641</v>
      </c>
      <c r="K21" s="566">
        <f t="shared" si="3"/>
        <v>159.80971093633028</v>
      </c>
      <c r="N21" s="106"/>
    </row>
    <row r="22" spans="2:14" s="2" customFormat="1">
      <c r="B22" s="320" t="s">
        <v>323</v>
      </c>
      <c r="C22" s="171" t="str">
        <f>'RFPR cover'!$C$14</f>
        <v>£m 12/13</v>
      </c>
      <c r="D22" s="480">
        <v>-132.4029505825871</v>
      </c>
      <c r="E22" s="481">
        <v>-136.73720407299172</v>
      </c>
      <c r="F22" s="481">
        <v>-140.25580081043762</v>
      </c>
      <c r="G22" s="481">
        <v>-143.34124583410085</v>
      </c>
      <c r="H22" s="481">
        <v>-143.41336503477356</v>
      </c>
      <c r="I22" s="481">
        <v>-143.90452337590179</v>
      </c>
      <c r="J22" s="481">
        <v>-132.70665117451995</v>
      </c>
      <c r="K22" s="853">
        <v>-132.92258822646343</v>
      </c>
      <c r="N22" s="106"/>
    </row>
    <row r="23" spans="2:14" s="2" customFormat="1">
      <c r="B23" s="320" t="s">
        <v>324</v>
      </c>
      <c r="C23" s="171" t="str">
        <f>'RFPR cover'!$C$14</f>
        <v>£m 12/13</v>
      </c>
      <c r="D23" s="854">
        <v>0</v>
      </c>
      <c r="E23" s="855">
        <v>0.16025384216458455</v>
      </c>
      <c r="F23" s="855">
        <v>0.29065768634769662</v>
      </c>
      <c r="G23" s="855">
        <v>5.3573696199052445E-2</v>
      </c>
      <c r="H23" s="855">
        <v>-0.53924124155451403</v>
      </c>
      <c r="I23" s="855">
        <v>-0.52362166049071024</v>
      </c>
      <c r="J23" s="855">
        <v>-0.23531830132670734</v>
      </c>
      <c r="K23" s="856">
        <v>-0.16376591505280239</v>
      </c>
      <c r="N23" s="106"/>
    </row>
    <row r="24" spans="2:14" s="2" customFormat="1">
      <c r="B24" s="319" t="s">
        <v>326</v>
      </c>
      <c r="C24" s="171" t="str">
        <f>'RFPR cover'!$C$14</f>
        <v>£m 12/13</v>
      </c>
      <c r="D24" s="564">
        <f t="shared" ref="D24:K24" si="4">SUM(D22:D23)</f>
        <v>-132.4029505825871</v>
      </c>
      <c r="E24" s="565">
        <f t="shared" si="4"/>
        <v>-136.57695023082712</v>
      </c>
      <c r="F24" s="565">
        <f t="shared" si="4"/>
        <v>-139.96514312408993</v>
      </c>
      <c r="G24" s="565">
        <f t="shared" si="4"/>
        <v>-143.28767213790178</v>
      </c>
      <c r="H24" s="565">
        <f t="shared" si="4"/>
        <v>-143.95260627632808</v>
      </c>
      <c r="I24" s="565">
        <f t="shared" si="4"/>
        <v>-144.42814503639249</v>
      </c>
      <c r="J24" s="565">
        <f t="shared" si="4"/>
        <v>-132.94196947584666</v>
      </c>
      <c r="K24" s="566">
        <f t="shared" si="4"/>
        <v>-133.08635414151624</v>
      </c>
      <c r="N24" s="106"/>
    </row>
    <row r="25" spans="2:14" s="2" customFormat="1">
      <c r="B25" s="321" t="s">
        <v>582</v>
      </c>
      <c r="C25" s="171" t="str">
        <f>'RFPR cover'!$C$14</f>
        <v>£m 12/13</v>
      </c>
      <c r="D25" s="480">
        <v>0</v>
      </c>
      <c r="E25" s="481">
        <v>0</v>
      </c>
      <c r="F25" s="481">
        <v>0</v>
      </c>
      <c r="G25" s="481">
        <v>0</v>
      </c>
      <c r="H25" s="481">
        <v>0</v>
      </c>
      <c r="I25" s="481">
        <v>0</v>
      </c>
      <c r="J25" s="481">
        <v>0</v>
      </c>
      <c r="K25" s="853">
        <v>0</v>
      </c>
      <c r="N25" s="106"/>
    </row>
    <row r="26" spans="2:14" s="2" customFormat="1">
      <c r="B26" s="321" t="s">
        <v>582</v>
      </c>
      <c r="C26" s="171" t="str">
        <f>'RFPR cover'!$C$14</f>
        <v>£m 12/13</v>
      </c>
      <c r="D26" s="484">
        <v>0</v>
      </c>
      <c r="E26" s="485">
        <v>0</v>
      </c>
      <c r="F26" s="485">
        <v>0</v>
      </c>
      <c r="G26" s="485">
        <v>0</v>
      </c>
      <c r="H26" s="485">
        <v>0</v>
      </c>
      <c r="I26" s="485">
        <v>0</v>
      </c>
      <c r="J26" s="485">
        <v>0</v>
      </c>
      <c r="K26" s="541">
        <v>0</v>
      </c>
      <c r="N26" s="106"/>
    </row>
    <row r="27" spans="2:14" s="2" customFormat="1">
      <c r="B27" s="321" t="s">
        <v>582</v>
      </c>
      <c r="C27" s="171" t="str">
        <f>'RFPR cover'!$C$14</f>
        <v>£m 12/13</v>
      </c>
      <c r="D27" s="854">
        <v>0</v>
      </c>
      <c r="E27" s="855">
        <v>0</v>
      </c>
      <c r="F27" s="855">
        <v>0</v>
      </c>
      <c r="G27" s="855">
        <v>0</v>
      </c>
      <c r="H27" s="855">
        <v>0</v>
      </c>
      <c r="I27" s="855">
        <v>0</v>
      </c>
      <c r="J27" s="855">
        <v>0</v>
      </c>
      <c r="K27" s="856">
        <v>0</v>
      </c>
      <c r="N27" s="106"/>
    </row>
    <row r="28" spans="2:14" s="2" customFormat="1">
      <c r="B28" s="319" t="s">
        <v>327</v>
      </c>
      <c r="C28" s="171" t="str">
        <f>'RFPR cover'!$C$14</f>
        <v>£m 12/13</v>
      </c>
      <c r="D28" s="567">
        <f>SUM(D25:D27)</f>
        <v>0</v>
      </c>
      <c r="E28" s="568">
        <f t="shared" ref="E28:K28" si="5">SUM(E25:E27)</f>
        <v>0</v>
      </c>
      <c r="F28" s="568">
        <f t="shared" si="5"/>
        <v>0</v>
      </c>
      <c r="G28" s="568">
        <f t="shared" si="5"/>
        <v>0</v>
      </c>
      <c r="H28" s="568">
        <f t="shared" si="5"/>
        <v>0</v>
      </c>
      <c r="I28" s="568">
        <f t="shared" si="5"/>
        <v>0</v>
      </c>
      <c r="J28" s="568">
        <f t="shared" si="5"/>
        <v>0</v>
      </c>
      <c r="K28" s="569">
        <f t="shared" si="5"/>
        <v>0</v>
      </c>
      <c r="N28" s="106"/>
    </row>
    <row r="29" spans="2:14" s="2" customFormat="1">
      <c r="B29" s="12" t="s">
        <v>328</v>
      </c>
      <c r="C29" s="171" t="str">
        <f>'RFPR cover'!$C$14</f>
        <v>£m 12/13</v>
      </c>
      <c r="D29" s="570">
        <f>D18+D21+D24+D28</f>
        <v>1574.316424595328</v>
      </c>
      <c r="E29" s="571">
        <f t="shared" ref="E29:K29" si="6">E18+E21+E24+E28</f>
        <v>1627.5853463738079</v>
      </c>
      <c r="F29" s="571">
        <f t="shared" si="6"/>
        <v>1680.487325552612</v>
      </c>
      <c r="G29" s="571">
        <f t="shared" si="6"/>
        <v>1738.6633737888615</v>
      </c>
      <c r="H29" s="571">
        <f t="shared" si="6"/>
        <v>1767.798115139838</v>
      </c>
      <c r="I29" s="571">
        <f t="shared" si="6"/>
        <v>1779.2475994853894</v>
      </c>
      <c r="J29" s="571">
        <f t="shared" si="6"/>
        <v>1808.5057502856068</v>
      </c>
      <c r="K29" s="572">
        <f t="shared" si="6"/>
        <v>1835.2291070804208</v>
      </c>
      <c r="N29" s="106"/>
    </row>
    <row r="30" spans="2:14" s="2" customFormat="1">
      <c r="B30" s="12"/>
      <c r="C30" s="171"/>
      <c r="D30" s="171"/>
      <c r="E30" s="171"/>
      <c r="F30" s="171"/>
      <c r="G30" s="171"/>
      <c r="H30" s="171"/>
      <c r="I30" s="171"/>
      <c r="J30" s="171"/>
      <c r="K30" s="171"/>
      <c r="L30" s="171"/>
      <c r="N30" s="106"/>
    </row>
    <row r="31" spans="2:14" s="2" customFormat="1">
      <c r="B31" s="12" t="s">
        <v>503</v>
      </c>
      <c r="C31" s="171" t="str">
        <f>'RFPR cover'!$C$14</f>
        <v>£m 12/13</v>
      </c>
      <c r="D31" s="570">
        <f t="shared" ref="D31:K31" si="7">(D20+D23+D28)</f>
        <v>-3.7058701000560177</v>
      </c>
      <c r="E31" s="571">
        <f t="shared" si="7"/>
        <v>-3.2628470676421073</v>
      </c>
      <c r="F31" s="571">
        <f t="shared" si="7"/>
        <v>7.2549998969641187</v>
      </c>
      <c r="G31" s="571">
        <f>(G20+G23+G28)</f>
        <v>19.320059173189961</v>
      </c>
      <c r="H31" s="571">
        <f>(H20+H23+H28)</f>
        <v>-1.0956888169525245</v>
      </c>
      <c r="I31" s="571">
        <f t="shared" si="7"/>
        <v>-11.695376828095823</v>
      </c>
      <c r="J31" s="571">
        <f t="shared" si="7"/>
        <v>-3.2315744765464776</v>
      </c>
      <c r="K31" s="572">
        <f t="shared" si="7"/>
        <v>-4.5297391989444362</v>
      </c>
      <c r="L31" s="171"/>
      <c r="N31" s="106"/>
    </row>
    <row r="32" spans="2:14" s="2" customFormat="1">
      <c r="B32" s="12" t="s">
        <v>504</v>
      </c>
      <c r="C32" s="171"/>
      <c r="D32" s="423" t="str">
        <f>IF(D5="Actuals",IF(ABS((D29-SUM($D$31:D31))-D11)&lt;'RFPR cover'!$F$14,"TRUE","FALSE"),"NA")</f>
        <v>TRUE</v>
      </c>
      <c r="E32" s="423" t="str">
        <f>IF(E5="Actuals",IF(ABS((E29-SUM($D$31:E31))-E11)&lt;'RFPR cover'!$F$14,"TRUE","FALSE"),"NA")</f>
        <v>TRUE</v>
      </c>
      <c r="F32" s="423" t="str">
        <f>IF(F5="Actuals",IF(ABS((F29-SUM($D$31:F31))-F11)&lt;'RFPR cover'!$F$14,"TRUE","FALSE"),"NA")</f>
        <v>TRUE</v>
      </c>
      <c r="G32" s="423" t="str">
        <f>IF(G5="Actuals",IF(ABS((G29-SUM($D$31:G31))-G11)&lt;'RFPR cover'!$F$14,"TRUE","FALSE"),"NA")</f>
        <v>TRUE</v>
      </c>
      <c r="H32" s="423" t="str">
        <f>IF(H5="Actuals",IF(ABS((H29-SUM($D$31:H31))-H11)&lt;'RFPR cover'!$F$14,"TRUE","FALSE"),"NA")</f>
        <v>TRUE</v>
      </c>
      <c r="I32" s="423" t="str">
        <f>IF(I5="Actuals",IF(ABS((I29-SUM($D$31:I31))-I11)&lt;'RFPR cover'!$F$14,"TRUE","FALSE"),"NA")</f>
        <v>TRUE</v>
      </c>
      <c r="J32" s="423" t="str">
        <f>IF(J5="Actuals",IF(ABS((J29-SUM($D$31:J31))-J11)&lt;'RFPR cover'!$F$14,"TRUE","FALSE"),"NA")</f>
        <v>NA</v>
      </c>
      <c r="K32" s="423" t="str">
        <f>IF(K5="Actuals",IF(ABS((K29-SUM($D$31:K31))-K11)&lt;'RFPR cover'!$F$14,"TRUE","FALSE"),"NA")</f>
        <v>NA</v>
      </c>
      <c r="L32" s="171"/>
      <c r="M32" s="827"/>
      <c r="N32" s="827"/>
    </row>
    <row r="33" spans="2:14" s="30" customFormat="1">
      <c r="B33" s="41"/>
      <c r="C33" s="398"/>
      <c r="D33" s="399"/>
      <c r="E33" s="399"/>
      <c r="F33" s="399"/>
      <c r="G33" s="399"/>
      <c r="H33" s="399"/>
      <c r="I33" s="399"/>
      <c r="J33" s="399"/>
      <c r="K33" s="399"/>
      <c r="M33" s="828"/>
      <c r="N33" s="828"/>
    </row>
    <row r="34" spans="2:14" s="30" customFormat="1">
      <c r="B34" s="41" t="s">
        <v>39</v>
      </c>
      <c r="C34" s="215" t="s">
        <v>124</v>
      </c>
      <c r="D34" s="900">
        <f>Data!C$35</f>
        <v>1.0677429242873198</v>
      </c>
      <c r="E34" s="901">
        <f>Data!D$35</f>
        <v>1.1033002963114336</v>
      </c>
      <c r="F34" s="901">
        <f>Data!E$35</f>
        <v>1.1402881373250229</v>
      </c>
      <c r="G34" s="901">
        <f>Data!F$35</f>
        <v>1.171554102380709</v>
      </c>
      <c r="H34" s="901">
        <f>Data!G$35</f>
        <v>1.1958720752017984</v>
      </c>
      <c r="I34" s="901">
        <f>Data!H$35</f>
        <v>1.2220292224379279</v>
      </c>
      <c r="J34" s="901">
        <f>Data!I$35</f>
        <v>1.3448452028200675</v>
      </c>
      <c r="K34" s="902">
        <f>Data!J$35</f>
        <v>1.4564673546541329</v>
      </c>
      <c r="N34" s="185"/>
    </row>
    <row r="35" spans="2:14" s="27" customFormat="1">
      <c r="B35" s="31" t="s">
        <v>368</v>
      </c>
      <c r="C35" s="215" t="s">
        <v>124</v>
      </c>
      <c r="D35" s="903">
        <f>Data!C$34</f>
        <v>1.0603167467048125</v>
      </c>
      <c r="E35" s="904">
        <f>Data!D$34</f>
        <v>1.0830366813119445</v>
      </c>
      <c r="F35" s="904">
        <f>Data!E$34</f>
        <v>1.1235639113109226</v>
      </c>
      <c r="G35" s="904">
        <f>Data!F$34</f>
        <v>1.1578951670583426</v>
      </c>
      <c r="H35" s="904">
        <f>Data!G$34</f>
        <v>1.1878696229692449</v>
      </c>
      <c r="I35" s="904">
        <f>Data!H$34</f>
        <v>1.202275126868976</v>
      </c>
      <c r="J35" s="904">
        <f>Data!I$34</f>
        <v>1.2717209904294811</v>
      </c>
      <c r="K35" s="905">
        <f>Data!J$34</f>
        <v>1.3772738326351281</v>
      </c>
      <c r="L35" s="189"/>
      <c r="N35" s="173"/>
    </row>
    <row r="36" spans="2:14" s="27" customFormat="1">
      <c r="B36" s="133" t="s">
        <v>501</v>
      </c>
      <c r="C36" s="215" t="s">
        <v>124</v>
      </c>
      <c r="D36" s="906">
        <f>INDEX(Data!$F$14:$F$30,MATCH($D$6-1,Data!$C$14:$C$30,0),0)/IF('RFPR cover'!$C$6="ED1",Data!$E$17,Data!$E$14)</f>
        <v>1.0526208235414325</v>
      </c>
      <c r="E36" s="907"/>
      <c r="F36" s="907"/>
      <c r="G36" s="907"/>
      <c r="H36" s="907"/>
      <c r="I36" s="907"/>
      <c r="J36" s="907"/>
      <c r="K36" s="907"/>
      <c r="L36" s="189"/>
      <c r="N36" s="173"/>
    </row>
    <row r="37" spans="2:14" s="30" customFormat="1">
      <c r="B37" s="41"/>
      <c r="C37" s="398"/>
      <c r="D37" s="399"/>
      <c r="E37" s="399"/>
      <c r="F37" s="399"/>
      <c r="G37" s="399"/>
      <c r="H37" s="399"/>
      <c r="I37" s="399"/>
      <c r="J37" s="399"/>
      <c r="K37" s="399"/>
      <c r="N37" s="185"/>
    </row>
    <row r="38" spans="2:14" s="2" customFormat="1">
      <c r="B38" s="12" t="s">
        <v>328</v>
      </c>
      <c r="C38" s="214" t="s">
        <v>125</v>
      </c>
      <c r="D38" s="570">
        <f t="shared" ref="D38:K38" si="8">D29*D34</f>
        <v>1680.9652229509734</v>
      </c>
      <c r="E38" s="571">
        <f t="shared" si="8"/>
        <v>1795.7153949263695</v>
      </c>
      <c r="F38" s="571">
        <f t="shared" si="8"/>
        <v>1916.2397622526973</v>
      </c>
      <c r="G38" s="571">
        <f t="shared" si="8"/>
        <v>2036.9382082214247</v>
      </c>
      <c r="H38" s="571">
        <f t="shared" si="8"/>
        <v>2114.0604004901061</v>
      </c>
      <c r="I38" s="571">
        <f t="shared" si="8"/>
        <v>2174.2925605236801</v>
      </c>
      <c r="J38" s="571">
        <f t="shared" si="8"/>
        <v>2432.160282544105</v>
      </c>
      <c r="K38" s="572">
        <f t="shared" si="8"/>
        <v>2672.9512827736871</v>
      </c>
      <c r="N38" s="106"/>
    </row>
    <row r="39" spans="2:14" s="2" customFormat="1">
      <c r="B39" s="12"/>
      <c r="C39" s="171"/>
      <c r="D39" s="171"/>
      <c r="E39" s="171"/>
      <c r="F39" s="171"/>
      <c r="G39" s="171"/>
      <c r="H39" s="171"/>
      <c r="I39" s="171"/>
      <c r="J39" s="171"/>
      <c r="K39" s="171"/>
      <c r="N39" s="106"/>
    </row>
    <row r="40" spans="2:14" s="2" customFormat="1">
      <c r="B40" s="416" t="s">
        <v>331</v>
      </c>
      <c r="C40" s="171" t="s">
        <v>334</v>
      </c>
      <c r="D40" s="334">
        <f>INDEX(Data!$K$73:$T$100,MATCH('RFPR cover'!$C$5,Data!$B$73:$B$100,0),MATCH('R9 - RAV'!D$6,Data!$K$72:$T$72,0))</f>
        <v>2.5499999999999998E-2</v>
      </c>
      <c r="E40" s="335">
        <f>INDEX(Data!$K$73:$T$100,MATCH('RFPR cover'!$C$5,Data!$B$73:$B$100,0),MATCH('R9 - RAV'!E$6,Data!$K$72:$T$72,0))</f>
        <v>2.4199999999999999E-2</v>
      </c>
      <c r="F40" s="335">
        <f>INDEX(Data!$K$73:$T$100,MATCH('RFPR cover'!$C$5,Data!$B$73:$B$100,0),MATCH('R9 - RAV'!F$6,Data!$K$72:$T$72,0))</f>
        <v>2.29E-2</v>
      </c>
      <c r="G40" s="335">
        <f>INDEX(Data!$K$73:$T$100,MATCH('RFPR cover'!$C$5,Data!$B$73:$B$100,0),MATCH('R9 - RAV'!G$6,Data!$K$72:$T$72,0))</f>
        <v>2.0899999999999998E-2</v>
      </c>
      <c r="H40" s="335">
        <f>INDEX(Data!$K$73:$T$100,MATCH('RFPR cover'!$C$5,Data!$B$73:$B$100,0),MATCH('R9 - RAV'!H$6,Data!$K$72:$T$72,0))</f>
        <v>1.9400000000000001E-2</v>
      </c>
      <c r="I40" s="335">
        <f>INDEX(Data!$K$73:$T$100,MATCH('RFPR cover'!$C$5,Data!$B$73:$B$100,0),MATCH('R9 - RAV'!I$6,Data!$K$72:$T$72,0))</f>
        <v>1.78E-2</v>
      </c>
      <c r="J40" s="335">
        <f>INDEX(Data!$K$73:$T$100,MATCH('RFPR cover'!$C$5,Data!$B$73:$B$100,0),MATCH('R9 - RAV'!J$6,Data!$K$72:$T$72,0))</f>
        <v>1.6199999999999999E-2</v>
      </c>
      <c r="K40" s="336">
        <f>INDEX(Data!$K$73:$T$100,MATCH('RFPR cover'!$C$5,Data!$B$73:$B$100,0),MATCH('R9 - RAV'!K$6,Data!$K$72:$T$72,0))</f>
        <v>1.47E-2</v>
      </c>
      <c r="N40" s="106"/>
    </row>
    <row r="41" spans="2:14" s="2" customFormat="1">
      <c r="B41" s="416" t="s">
        <v>332</v>
      </c>
      <c r="C41" s="171" t="s">
        <v>334</v>
      </c>
      <c r="D41" s="337">
        <f>'RFPR cover'!$C$10</f>
        <v>0.06</v>
      </c>
      <c r="E41" s="338">
        <f>'RFPR cover'!$C$10</f>
        <v>0.06</v>
      </c>
      <c r="F41" s="338">
        <f>'RFPR cover'!$C$10</f>
        <v>0.06</v>
      </c>
      <c r="G41" s="338">
        <f>'RFPR cover'!$C$10</f>
        <v>0.06</v>
      </c>
      <c r="H41" s="338">
        <f>'RFPR cover'!$C$10</f>
        <v>0.06</v>
      </c>
      <c r="I41" s="338">
        <f>'RFPR cover'!$C$10</f>
        <v>0.06</v>
      </c>
      <c r="J41" s="338">
        <f>'RFPR cover'!$C$10</f>
        <v>0.06</v>
      </c>
      <c r="K41" s="339">
        <f>'RFPR cover'!$C$10</f>
        <v>0.06</v>
      </c>
      <c r="N41" s="106"/>
    </row>
    <row r="42" spans="2:14" s="2" customFormat="1">
      <c r="B42" s="416" t="s">
        <v>333</v>
      </c>
      <c r="C42" s="171" t="s">
        <v>7</v>
      </c>
      <c r="D42" s="340">
        <f>'RFPR cover'!$C$12</f>
        <v>0.65</v>
      </c>
      <c r="E42" s="341">
        <f>'RFPR cover'!$C$12</f>
        <v>0.65</v>
      </c>
      <c r="F42" s="341">
        <f>'RFPR cover'!$C$12</f>
        <v>0.65</v>
      </c>
      <c r="G42" s="341">
        <f>'RFPR cover'!$C$12</f>
        <v>0.65</v>
      </c>
      <c r="H42" s="341">
        <f>'RFPR cover'!$C$12</f>
        <v>0.65</v>
      </c>
      <c r="I42" s="341">
        <f>'RFPR cover'!$C$12</f>
        <v>0.65</v>
      </c>
      <c r="J42" s="341">
        <f>'RFPR cover'!$C$12</f>
        <v>0.65</v>
      </c>
      <c r="K42" s="342">
        <f>'RFPR cover'!$C$12</f>
        <v>0.65</v>
      </c>
      <c r="N42" s="106"/>
    </row>
    <row r="43" spans="2:14">
      <c r="B43" s="161" t="s">
        <v>267</v>
      </c>
      <c r="C43" s="322" t="s">
        <v>334</v>
      </c>
      <c r="D43" s="331">
        <f t="shared" ref="D43:K43" si="9">D40*D42+D41*(1-D42)</f>
        <v>3.7574999999999997E-2</v>
      </c>
      <c r="E43" s="332">
        <f t="shared" si="9"/>
        <v>3.6729999999999999E-2</v>
      </c>
      <c r="F43" s="332">
        <f t="shared" si="9"/>
        <v>3.5885E-2</v>
      </c>
      <c r="G43" s="332">
        <f t="shared" si="9"/>
        <v>3.4584999999999998E-2</v>
      </c>
      <c r="H43" s="332">
        <f t="shared" si="9"/>
        <v>3.3610000000000001E-2</v>
      </c>
      <c r="I43" s="332">
        <f t="shared" si="9"/>
        <v>3.2570000000000002E-2</v>
      </c>
      <c r="J43" s="332">
        <f t="shared" si="9"/>
        <v>3.1529999999999996E-2</v>
      </c>
      <c r="K43" s="333">
        <f t="shared" si="9"/>
        <v>3.0554999999999999E-2</v>
      </c>
      <c r="L43" s="172"/>
    </row>
    <row r="44" spans="2:14">
      <c r="C44" s="184"/>
      <c r="D44" s="179"/>
      <c r="E44" s="179"/>
      <c r="F44" s="179"/>
      <c r="G44" s="179"/>
      <c r="H44" s="179"/>
      <c r="I44" s="179"/>
      <c r="J44" s="179"/>
      <c r="K44" s="179"/>
    </row>
    <row r="45" spans="2:14">
      <c r="B45" s="302" t="s">
        <v>335</v>
      </c>
      <c r="C45" s="322" t="str">
        <f>'RFPR cover'!$C$14</f>
        <v>£m 12/13</v>
      </c>
      <c r="D45" s="78">
        <f t="shared" ref="D45:K45" si="10">D47*D42</f>
        <v>988.76282524769772</v>
      </c>
      <c r="E45" s="79">
        <f t="shared" si="10"/>
        <v>1021.8775228887655</v>
      </c>
      <c r="F45" s="79">
        <f t="shared" si="10"/>
        <v>1056.2036673244031</v>
      </c>
      <c r="G45" s="79">
        <f t="shared" si="10"/>
        <v>1092.3344769990922</v>
      </c>
      <c r="H45" s="79">
        <f t="shared" si="10"/>
        <v>1120.9177916231138</v>
      </c>
      <c r="I45" s="79">
        <f t="shared" si="10"/>
        <v>1134.550144059466</v>
      </c>
      <c r="J45" s="79">
        <f t="shared" si="10"/>
        <v>1148.0540882372791</v>
      </c>
      <c r="K45" s="80">
        <f t="shared" si="10"/>
        <v>1166.5296553157777</v>
      </c>
    </row>
    <row r="46" spans="2:14">
      <c r="B46" s="302" t="s">
        <v>228</v>
      </c>
      <c r="C46" s="322" t="str">
        <f>'RFPR cover'!$C$14</f>
        <v>£m 12/13</v>
      </c>
      <c r="D46" s="427">
        <f t="shared" ref="D46:K46" si="11">D47*(1-D42)</f>
        <v>532.41075205645257</v>
      </c>
      <c r="E46" s="428">
        <f t="shared" si="11"/>
        <v>550.24174309395062</v>
      </c>
      <c r="F46" s="428">
        <f t="shared" si="11"/>
        <v>568.72505163621702</v>
      </c>
      <c r="G46" s="428">
        <f t="shared" si="11"/>
        <v>588.18010299951118</v>
      </c>
      <c r="H46" s="428">
        <f t="shared" si="11"/>
        <v>603.57111856629194</v>
      </c>
      <c r="I46" s="428">
        <f t="shared" si="11"/>
        <v>610.91161603202011</v>
      </c>
      <c r="J46" s="428">
        <f t="shared" si="11"/>
        <v>618.18297058930398</v>
      </c>
      <c r="K46" s="429">
        <f t="shared" si="11"/>
        <v>628.13135286234183</v>
      </c>
    </row>
    <row r="47" spans="2:14">
      <c r="B47" s="161" t="s">
        <v>227</v>
      </c>
      <c r="C47" s="171" t="str">
        <f>'RFPR cover'!$C$14</f>
        <v>£m 12/13</v>
      </c>
      <c r="D47" s="85">
        <f t="shared" ref="D47:K47" si="12">AVERAGE(D16,D29*(1/(1+D43)))</f>
        <v>1521.1735773041503</v>
      </c>
      <c r="E47" s="86">
        <f t="shared" si="12"/>
        <v>1572.1192659827161</v>
      </c>
      <c r="F47" s="86">
        <f t="shared" si="12"/>
        <v>1624.9287189606202</v>
      </c>
      <c r="G47" s="86">
        <f t="shared" si="12"/>
        <v>1680.5145799986035</v>
      </c>
      <c r="H47" s="86">
        <f t="shared" si="12"/>
        <v>1724.4889101894057</v>
      </c>
      <c r="I47" s="86">
        <f t="shared" si="12"/>
        <v>1745.4617600914862</v>
      </c>
      <c r="J47" s="86">
        <f t="shared" si="12"/>
        <v>1766.2370588265831</v>
      </c>
      <c r="K47" s="87">
        <f t="shared" si="12"/>
        <v>1794.6610081781196</v>
      </c>
      <c r="N47" s="175"/>
    </row>
    <row r="48" spans="2:14">
      <c r="B48" s="161"/>
      <c r="C48" s="171"/>
      <c r="D48" s="171"/>
      <c r="E48" s="171"/>
      <c r="F48" s="171"/>
      <c r="G48" s="171"/>
      <c r="H48" s="171"/>
      <c r="I48" s="171"/>
      <c r="J48" s="171"/>
      <c r="K48" s="171"/>
      <c r="N48" s="175"/>
    </row>
    <row r="49" spans="2:14">
      <c r="B49" s="302" t="s">
        <v>336</v>
      </c>
      <c r="C49" s="322" t="str">
        <f>'RFPR cover'!$C$14</f>
        <v>£m 12/13</v>
      </c>
      <c r="D49" s="573">
        <f>D40*D45</f>
        <v>25.213452043816289</v>
      </c>
      <c r="E49" s="574">
        <f t="shared" ref="D49:K50" si="13">E40*E45</f>
        <v>24.729436053908124</v>
      </c>
      <c r="F49" s="574">
        <f t="shared" si="13"/>
        <v>24.18706398172883</v>
      </c>
      <c r="G49" s="574">
        <f t="shared" si="13"/>
        <v>22.829790569281027</v>
      </c>
      <c r="H49" s="574">
        <f t="shared" si="13"/>
        <v>21.745805157488409</v>
      </c>
      <c r="I49" s="574">
        <f t="shared" si="13"/>
        <v>20.194992564258495</v>
      </c>
      <c r="J49" s="574">
        <f t="shared" si="13"/>
        <v>18.598476229443921</v>
      </c>
      <c r="K49" s="575">
        <f t="shared" si="13"/>
        <v>17.147985933141932</v>
      </c>
    </row>
    <row r="50" spans="2:14">
      <c r="B50" s="302" t="s">
        <v>225</v>
      </c>
      <c r="C50" s="322" t="str">
        <f>'RFPR cover'!$C$14</f>
        <v>£m 12/13</v>
      </c>
      <c r="D50" s="75">
        <f t="shared" si="13"/>
        <v>31.944645123387154</v>
      </c>
      <c r="E50" s="76">
        <f t="shared" si="13"/>
        <v>33.014504585637034</v>
      </c>
      <c r="F50" s="76">
        <f t="shared" si="13"/>
        <v>34.123503098173018</v>
      </c>
      <c r="G50" s="76">
        <f t="shared" si="13"/>
        <v>35.290806179970666</v>
      </c>
      <c r="H50" s="76">
        <f t="shared" si="13"/>
        <v>36.214267113977513</v>
      </c>
      <c r="I50" s="76">
        <f t="shared" si="13"/>
        <v>36.654696961921204</v>
      </c>
      <c r="J50" s="76">
        <f t="shared" si="13"/>
        <v>37.090978235358236</v>
      </c>
      <c r="K50" s="77">
        <f t="shared" si="13"/>
        <v>37.687881171740507</v>
      </c>
      <c r="N50" s="175"/>
    </row>
    <row r="51" spans="2:14">
      <c r="B51" s="161" t="s">
        <v>338</v>
      </c>
      <c r="C51" s="322" t="str">
        <f>'RFPR cover'!$C$14</f>
        <v>£m 12/13</v>
      </c>
      <c r="D51" s="85">
        <f>SUM(D49:D50)</f>
        <v>57.158097167203444</v>
      </c>
      <c r="E51" s="86">
        <f t="shared" ref="E51:K51" si="14">SUM(E49:E50)</f>
        <v>57.743940639545158</v>
      </c>
      <c r="F51" s="86">
        <f t="shared" si="14"/>
        <v>58.310567079901844</v>
      </c>
      <c r="G51" s="86">
        <f t="shared" si="14"/>
        <v>58.120596749251689</v>
      </c>
      <c r="H51" s="86">
        <f t="shared" si="14"/>
        <v>57.960072271465918</v>
      </c>
      <c r="I51" s="86">
        <f t="shared" si="14"/>
        <v>56.849689526179702</v>
      </c>
      <c r="J51" s="86">
        <f t="shared" si="14"/>
        <v>55.689454464802154</v>
      </c>
      <c r="K51" s="87">
        <f t="shared" si="14"/>
        <v>54.835867104882439</v>
      </c>
      <c r="N51" s="175"/>
    </row>
    <row r="53" spans="2:14" s="27" customFormat="1">
      <c r="B53" s="302" t="s">
        <v>335</v>
      </c>
      <c r="C53" s="214" t="s">
        <v>125</v>
      </c>
      <c r="D53" s="78">
        <f t="shared" ref="D53:K54" si="15">D$35*D45</f>
        <v>1048.4017821292978</v>
      </c>
      <c r="E53" s="79">
        <f t="shared" si="15"/>
        <v>1106.7308410967191</v>
      </c>
      <c r="F53" s="79">
        <f t="shared" si="15"/>
        <v>1186.7123235999468</v>
      </c>
      <c r="G53" s="79">
        <f t="shared" si="15"/>
        <v>1264.8088117284512</v>
      </c>
      <c r="H53" s="79">
        <f t="shared" si="15"/>
        <v>1331.5041945148669</v>
      </c>
      <c r="I53" s="79">
        <f t="shared" si="15"/>
        <v>1364.0414183883095</v>
      </c>
      <c r="J53" s="79">
        <f t="shared" si="15"/>
        <v>1460.0044821597273</v>
      </c>
      <c r="K53" s="80">
        <f t="shared" si="15"/>
        <v>1606.6307692592961</v>
      </c>
      <c r="L53" s="189"/>
      <c r="N53" s="173"/>
    </row>
    <row r="54" spans="2:14" s="27" customFormat="1">
      <c r="B54" s="302" t="s">
        <v>228</v>
      </c>
      <c r="C54" s="214" t="s">
        <v>125</v>
      </c>
      <c r="D54" s="427">
        <f t="shared" si="15"/>
        <v>564.52403653116028</v>
      </c>
      <c r="E54" s="428">
        <f t="shared" si="15"/>
        <v>595.93199135977181</v>
      </c>
      <c r="F54" s="428">
        <f t="shared" si="15"/>
        <v>638.9989434768944</v>
      </c>
      <c r="G54" s="428">
        <f t="shared" si="15"/>
        <v>681.05089862301213</v>
      </c>
      <c r="H54" s="428">
        <f t="shared" si="15"/>
        <v>716.96379704646665</v>
      </c>
      <c r="I54" s="428">
        <f t="shared" si="15"/>
        <v>734.48384067062807</v>
      </c>
      <c r="J54" s="428">
        <f t="shared" si="15"/>
        <v>786.15625962446836</v>
      </c>
      <c r="K54" s="429">
        <f t="shared" si="15"/>
        <v>865.10887575500556</v>
      </c>
      <c r="L54" s="189"/>
      <c r="N54" s="173"/>
    </row>
    <row r="55" spans="2:14">
      <c r="B55" s="161" t="s">
        <v>337</v>
      </c>
      <c r="C55" s="214" t="s">
        <v>125</v>
      </c>
      <c r="D55" s="908">
        <f>SUM(D53:D54)</f>
        <v>1612.9258186604579</v>
      </c>
      <c r="E55" s="909">
        <f t="shared" ref="E55:K55" si="16">SUM(E53:E54)</f>
        <v>1702.6628324564908</v>
      </c>
      <c r="F55" s="909">
        <f t="shared" si="16"/>
        <v>1825.7112670768411</v>
      </c>
      <c r="G55" s="909">
        <f t="shared" si="16"/>
        <v>1945.8597103514635</v>
      </c>
      <c r="H55" s="909">
        <f t="shared" si="16"/>
        <v>2048.4679915613333</v>
      </c>
      <c r="I55" s="909">
        <f t="shared" si="16"/>
        <v>2098.5252590589375</v>
      </c>
      <c r="J55" s="909">
        <f t="shared" si="16"/>
        <v>2246.1607417841956</v>
      </c>
      <c r="K55" s="910">
        <f t="shared" si="16"/>
        <v>2471.7396450143015</v>
      </c>
    </row>
    <row r="56" spans="2:14" s="27" customFormat="1">
      <c r="B56" s="161"/>
      <c r="C56" s="171"/>
      <c r="D56" s="171"/>
      <c r="E56" s="171"/>
      <c r="F56" s="171"/>
      <c r="G56" s="171"/>
      <c r="H56" s="171"/>
      <c r="I56" s="171"/>
      <c r="J56" s="171"/>
      <c r="K56" s="171"/>
      <c r="L56" s="189"/>
      <c r="N56" s="173"/>
    </row>
    <row r="57" spans="2:14" s="27" customFormat="1">
      <c r="B57" s="302" t="s">
        <v>336</v>
      </c>
      <c r="C57" s="214" t="s">
        <v>125</v>
      </c>
      <c r="D57" s="78">
        <f t="shared" ref="D57:K58" si="17">D$35*D49</f>
        <v>26.734245444297091</v>
      </c>
      <c r="E57" s="79">
        <f t="shared" si="17"/>
        <v>26.782886354540604</v>
      </c>
      <c r="F57" s="79">
        <f t="shared" si="17"/>
        <v>27.175712210438782</v>
      </c>
      <c r="G57" s="79">
        <f t="shared" si="17"/>
        <v>26.434504165124629</v>
      </c>
      <c r="H57" s="79">
        <f t="shared" si="17"/>
        <v>25.831181373588418</v>
      </c>
      <c r="I57" s="79">
        <f t="shared" si="17"/>
        <v>24.27993724731191</v>
      </c>
      <c r="J57" s="79">
        <f t="shared" si="17"/>
        <v>23.652072610987585</v>
      </c>
      <c r="K57" s="80">
        <f t="shared" si="17"/>
        <v>23.617472308111655</v>
      </c>
      <c r="L57" s="189"/>
      <c r="N57" s="173"/>
    </row>
    <row r="58" spans="2:14">
      <c r="B58" s="302" t="s">
        <v>234</v>
      </c>
      <c r="C58" s="214" t="s">
        <v>125</v>
      </c>
      <c r="D58" s="911">
        <f t="shared" si="17"/>
        <v>33.871442191869619</v>
      </c>
      <c r="E58" s="912">
        <f t="shared" si="17"/>
        <v>35.755919481586311</v>
      </c>
      <c r="F58" s="912">
        <f t="shared" si="17"/>
        <v>38.339936608613662</v>
      </c>
      <c r="G58" s="912">
        <f t="shared" si="17"/>
        <v>40.863053917380725</v>
      </c>
      <c r="H58" s="912">
        <f t="shared" si="17"/>
        <v>43.017827822787993</v>
      </c>
      <c r="I58" s="912">
        <f t="shared" si="17"/>
        <v>44.069030440237682</v>
      </c>
      <c r="J58" s="912">
        <f t="shared" si="17"/>
        <v>47.169375577468102</v>
      </c>
      <c r="K58" s="913">
        <f t="shared" si="17"/>
        <v>51.90653254530033</v>
      </c>
    </row>
    <row r="59" spans="2:14">
      <c r="B59" s="161" t="s">
        <v>338</v>
      </c>
      <c r="C59" s="214" t="s">
        <v>125</v>
      </c>
      <c r="D59" s="85">
        <f t="shared" ref="D59:K59" si="18">SUM(D57:D58)</f>
        <v>60.605687636166707</v>
      </c>
      <c r="E59" s="86">
        <f t="shared" si="18"/>
        <v>62.538805836126912</v>
      </c>
      <c r="F59" s="86">
        <f t="shared" si="18"/>
        <v>65.515648819052444</v>
      </c>
      <c r="G59" s="86">
        <f t="shared" si="18"/>
        <v>67.297558082505361</v>
      </c>
      <c r="H59" s="86">
        <f t="shared" si="18"/>
        <v>68.849009196376414</v>
      </c>
      <c r="I59" s="86">
        <f t="shared" si="18"/>
        <v>68.348967687549589</v>
      </c>
      <c r="J59" s="86">
        <f t="shared" si="18"/>
        <v>70.82144818845569</v>
      </c>
      <c r="K59" s="87">
        <f t="shared" si="18"/>
        <v>75.524004853411981</v>
      </c>
    </row>
    <row r="60" spans="2:14">
      <c r="B60" s="13"/>
      <c r="C60" s="190"/>
      <c r="D60" s="190"/>
      <c r="E60" s="190"/>
      <c r="F60" s="190"/>
      <c r="G60" s="190"/>
      <c r="H60" s="190"/>
      <c r="I60" s="190"/>
      <c r="J60" s="190"/>
      <c r="K60" s="190"/>
    </row>
    <row r="61" spans="2:14">
      <c r="B61" s="13"/>
      <c r="C61" s="190"/>
      <c r="D61" s="190"/>
      <c r="E61" s="190"/>
      <c r="F61" s="190"/>
      <c r="G61" s="190"/>
      <c r="H61" s="190"/>
      <c r="I61" s="190"/>
      <c r="J61" s="190"/>
      <c r="K61" s="190"/>
    </row>
    <row r="62" spans="2:14">
      <c r="B62" s="13"/>
      <c r="C62" s="190"/>
      <c r="D62" s="190"/>
      <c r="E62" s="190"/>
      <c r="F62" s="190"/>
      <c r="G62" s="190"/>
      <c r="H62" s="190"/>
      <c r="I62" s="190"/>
      <c r="J62" s="190"/>
      <c r="K62" s="190"/>
    </row>
    <row r="63" spans="2:14">
      <c r="B63" s="13"/>
      <c r="C63" s="190"/>
      <c r="D63" s="190"/>
      <c r="E63" s="190"/>
      <c r="F63" s="190"/>
      <c r="G63" s="190"/>
      <c r="H63" s="190"/>
      <c r="I63" s="190"/>
      <c r="J63" s="190"/>
      <c r="K63" s="190"/>
    </row>
  </sheetData>
  <conditionalFormatting sqref="D6:K6">
    <cfRule type="expression" dxfId="54" priority="13">
      <formula>AND(D$5="Actuals",E$5="Forecast")</formula>
    </cfRule>
  </conditionalFormatting>
  <conditionalFormatting sqref="D5:K5">
    <cfRule type="expression" dxfId="5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M89"/>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ht="20.25">
      <c r="A1" s="698" t="s">
        <v>256</v>
      </c>
      <c r="B1" s="681"/>
      <c r="C1" s="209"/>
      <c r="D1" s="209"/>
      <c r="E1" s="209"/>
      <c r="F1" s="209"/>
      <c r="G1" s="209"/>
      <c r="H1" s="209"/>
      <c r="I1" s="699"/>
      <c r="J1" s="699"/>
      <c r="K1" s="700"/>
      <c r="L1" s="701"/>
    </row>
    <row r="2" spans="1:13" ht="20.25">
      <c r="A2" s="674" t="str">
        <f>'RFPR cover'!C5</f>
        <v>SPMW</v>
      </c>
      <c r="B2" s="702"/>
      <c r="C2" s="703"/>
      <c r="D2" s="703"/>
      <c r="E2" s="703"/>
      <c r="F2" s="703"/>
      <c r="G2" s="703"/>
      <c r="H2" s="703"/>
      <c r="I2" s="704"/>
      <c r="J2" s="704"/>
      <c r="K2" s="704"/>
      <c r="L2" s="705"/>
    </row>
    <row r="3" spans="1:13" ht="20.25">
      <c r="A3" s="677">
        <f>'RFPR cover'!C7</f>
        <v>2022</v>
      </c>
      <c r="B3" s="684"/>
      <c r="C3" s="212"/>
      <c r="D3" s="212"/>
      <c r="E3" s="212"/>
      <c r="F3" s="212"/>
      <c r="G3" s="212"/>
      <c r="H3" s="212"/>
      <c r="I3" s="707"/>
      <c r="J3" s="707"/>
      <c r="K3" s="707"/>
      <c r="L3" s="708"/>
    </row>
    <row r="4" spans="1:13" ht="12.75" customHeight="1">
      <c r="A4" s="796"/>
      <c r="B4" s="797"/>
      <c r="C4" s="796"/>
      <c r="D4" s="796"/>
      <c r="E4" s="796"/>
      <c r="F4" s="796"/>
      <c r="G4" s="796"/>
      <c r="H4" s="796"/>
      <c r="I4" s="798"/>
      <c r="J4" s="798"/>
      <c r="K4" s="798"/>
      <c r="L4" s="799"/>
      <c r="M4" s="797"/>
    </row>
    <row r="5" spans="1:13" s="2" customFormat="1">
      <c r="B5" s="3"/>
      <c r="C5" s="3"/>
      <c r="D5" s="709" t="str">
        <f>IF(D6&lt;=('RFPR cover'!$C$7-1),"Actuals","Forecast")</f>
        <v>Actuals</v>
      </c>
      <c r="E5" s="709" t="str">
        <f>IF(E6&lt;=('RFPR cover'!$C$7-1),"Actuals","Forecast")</f>
        <v>Actuals</v>
      </c>
      <c r="F5" s="709" t="str">
        <f>IF(F6&lt;=('RFPR cover'!$C$7-1),"Actuals","Forecast")</f>
        <v>Actuals</v>
      </c>
      <c r="G5" s="709" t="str">
        <f>IF(G6&lt;=('RFPR cover'!$C$7-1),"Actuals","Forecast")</f>
        <v>Actuals</v>
      </c>
      <c r="H5" s="709" t="str">
        <f>IF(H6&lt;=('RFPR cover'!$C$7-1),"Actuals","Forecast")</f>
        <v>Actuals</v>
      </c>
      <c r="I5" s="709" t="str">
        <f>IF(I6&lt;=('RFPR cover'!$C$7-1),"Actuals","Forecast")</f>
        <v>Actuals</v>
      </c>
      <c r="J5" s="709" t="str">
        <f>IF(J6&lt;=('RFPR cover'!$C$7-1),"Actuals","Forecast")</f>
        <v>Forecast</v>
      </c>
      <c r="K5" s="709" t="str">
        <f>IF(K6&lt;=('RFPR cover'!$C$7-1),"Actuals","Forecast")</f>
        <v>Forecast</v>
      </c>
    </row>
    <row r="6" spans="1:13" s="2" customFormat="1">
      <c r="D6" s="99">
        <f>'RFPR cover'!$C$13</f>
        <v>2016</v>
      </c>
      <c r="E6" s="100">
        <f>D6+1</f>
        <v>2017</v>
      </c>
      <c r="F6" s="100">
        <f t="shared" ref="F6:K6" si="0">E6+1</f>
        <v>2018</v>
      </c>
      <c r="G6" s="100">
        <f t="shared" si="0"/>
        <v>2019</v>
      </c>
      <c r="H6" s="100">
        <f t="shared" si="0"/>
        <v>2020</v>
      </c>
      <c r="I6" s="100">
        <f t="shared" si="0"/>
        <v>2021</v>
      </c>
      <c r="J6" s="100">
        <f t="shared" si="0"/>
        <v>2022</v>
      </c>
      <c r="K6" s="157">
        <f t="shared" si="0"/>
        <v>2023</v>
      </c>
    </row>
    <row r="7" spans="1:13" s="2" customFormat="1">
      <c r="D7" s="800"/>
      <c r="E7" s="800"/>
      <c r="F7" s="800"/>
      <c r="G7" s="800"/>
      <c r="H7" s="800"/>
      <c r="I7" s="800"/>
      <c r="J7" s="800"/>
      <c r="K7" s="800"/>
    </row>
    <row r="8" spans="1:13" s="2" customFormat="1">
      <c r="B8" s="301" t="s">
        <v>358</v>
      </c>
      <c r="C8" s="234"/>
      <c r="D8" s="234"/>
      <c r="E8" s="234"/>
      <c r="F8" s="234"/>
      <c r="G8" s="234"/>
      <c r="H8" s="234"/>
      <c r="I8" s="234"/>
      <c r="J8" s="234"/>
      <c r="K8" s="234"/>
      <c r="L8" s="234"/>
    </row>
    <row r="9" spans="1:13" s="2" customFormat="1">
      <c r="B9" s="301" t="s">
        <v>463</v>
      </c>
      <c r="C9" s="234"/>
      <c r="D9" s="234"/>
      <c r="E9" s="234"/>
      <c r="F9" s="234"/>
      <c r="G9" s="234"/>
      <c r="H9" s="234"/>
      <c r="I9" s="234"/>
      <c r="J9" s="234"/>
      <c r="K9" s="234"/>
      <c r="L9" s="234"/>
    </row>
    <row r="10" spans="1:13" s="2" customFormat="1">
      <c r="B10" s="301" t="s">
        <v>359</v>
      </c>
      <c r="C10" s="234"/>
      <c r="D10" s="234"/>
      <c r="E10" s="234"/>
      <c r="F10" s="234"/>
      <c r="G10" s="234"/>
      <c r="H10" s="234"/>
      <c r="I10" s="234"/>
      <c r="J10" s="234"/>
      <c r="K10" s="234"/>
      <c r="L10" s="234"/>
    </row>
    <row r="11" spans="1:13" s="2" customFormat="1">
      <c r="B11" s="762"/>
    </row>
    <row r="12" spans="1:13">
      <c r="B12" s="720" t="s">
        <v>524</v>
      </c>
      <c r="C12" s="121" t="s">
        <v>125</v>
      </c>
      <c r="D12" s="508">
        <v>16.525522400000003</v>
      </c>
      <c r="E12" s="509">
        <v>2.8361433900000002</v>
      </c>
      <c r="F12" s="509">
        <v>8.6759842500000008</v>
      </c>
      <c r="G12" s="509">
        <v>16.616330300000001</v>
      </c>
      <c r="H12" s="509">
        <v>21.433261600000002</v>
      </c>
      <c r="I12" s="914">
        <v>0</v>
      </c>
      <c r="J12" s="509">
        <v>0</v>
      </c>
      <c r="K12" s="510">
        <v>0</v>
      </c>
    </row>
    <row r="13" spans="1:13">
      <c r="B13" s="13"/>
      <c r="C13" s="13"/>
      <c r="D13" s="576"/>
      <c r="E13" s="576"/>
      <c r="F13" s="576"/>
      <c r="G13" s="576"/>
      <c r="H13" s="576"/>
      <c r="I13" s="576"/>
      <c r="J13" s="576"/>
      <c r="K13" s="576"/>
    </row>
    <row r="14" spans="1:13">
      <c r="B14" s="13" t="s">
        <v>462</v>
      </c>
      <c r="C14" s="121"/>
      <c r="D14" s="576"/>
      <c r="E14" s="576"/>
      <c r="F14" s="576"/>
      <c r="G14" s="576"/>
      <c r="H14" s="576"/>
      <c r="I14" s="576"/>
      <c r="J14" s="576"/>
      <c r="K14" s="576"/>
    </row>
    <row r="15" spans="1:13">
      <c r="B15" s="719" t="s">
        <v>484</v>
      </c>
      <c r="C15" s="121" t="s">
        <v>125</v>
      </c>
      <c r="D15" s="492">
        <v>0</v>
      </c>
      <c r="E15" s="493">
        <v>0</v>
      </c>
      <c r="F15" s="493">
        <v>0</v>
      </c>
      <c r="G15" s="493">
        <v>0</v>
      </c>
      <c r="H15" s="493">
        <v>0</v>
      </c>
      <c r="I15" s="493">
        <v>0</v>
      </c>
      <c r="J15" s="493">
        <v>0</v>
      </c>
      <c r="K15" s="499">
        <v>0</v>
      </c>
    </row>
    <row r="16" spans="1:13">
      <c r="B16" s="801" t="s">
        <v>583</v>
      </c>
      <c r="C16" s="121" t="s">
        <v>125</v>
      </c>
      <c r="D16" s="494">
        <v>0</v>
      </c>
      <c r="E16" s="495">
        <v>0</v>
      </c>
      <c r="F16" s="495">
        <v>0</v>
      </c>
      <c r="G16" s="495">
        <v>0</v>
      </c>
      <c r="H16" s="495">
        <v>0</v>
      </c>
      <c r="I16" s="495">
        <v>0</v>
      </c>
      <c r="J16" s="495">
        <v>0</v>
      </c>
      <c r="K16" s="500">
        <v>0</v>
      </c>
    </row>
    <row r="17" spans="2:12">
      <c r="B17" s="801" t="s">
        <v>583</v>
      </c>
      <c r="C17" s="121" t="s">
        <v>125</v>
      </c>
      <c r="D17" s="494">
        <v>0</v>
      </c>
      <c r="E17" s="495">
        <v>0</v>
      </c>
      <c r="F17" s="495">
        <v>0</v>
      </c>
      <c r="G17" s="495">
        <v>0</v>
      </c>
      <c r="H17" s="495">
        <v>0</v>
      </c>
      <c r="I17" s="495">
        <v>0</v>
      </c>
      <c r="J17" s="495">
        <v>0</v>
      </c>
      <c r="K17" s="500">
        <v>0</v>
      </c>
    </row>
    <row r="18" spans="2:12">
      <c r="B18" s="801" t="s">
        <v>583</v>
      </c>
      <c r="C18" s="121" t="s">
        <v>125</v>
      </c>
      <c r="D18" s="494">
        <v>0</v>
      </c>
      <c r="E18" s="495">
        <v>0</v>
      </c>
      <c r="F18" s="495">
        <v>0</v>
      </c>
      <c r="G18" s="495">
        <v>0</v>
      </c>
      <c r="H18" s="495">
        <v>0</v>
      </c>
      <c r="I18" s="495">
        <v>0</v>
      </c>
      <c r="J18" s="495">
        <v>0</v>
      </c>
      <c r="K18" s="500">
        <v>0</v>
      </c>
    </row>
    <row r="19" spans="2:12">
      <c r="B19" s="802" t="s">
        <v>360</v>
      </c>
      <c r="C19" s="121" t="s">
        <v>125</v>
      </c>
      <c r="D19" s="915">
        <f>SUM(D15:D18)</f>
        <v>0</v>
      </c>
      <c r="E19" s="916">
        <f t="shared" ref="E19:K19" si="1">SUM(E15:E18)</f>
        <v>0</v>
      </c>
      <c r="F19" s="916">
        <f t="shared" si="1"/>
        <v>0</v>
      </c>
      <c r="G19" s="916">
        <f t="shared" si="1"/>
        <v>0</v>
      </c>
      <c r="H19" s="916">
        <f t="shared" si="1"/>
        <v>0</v>
      </c>
      <c r="I19" s="916">
        <f t="shared" si="1"/>
        <v>0</v>
      </c>
      <c r="J19" s="916">
        <f t="shared" si="1"/>
        <v>0</v>
      </c>
      <c r="K19" s="917">
        <f t="shared" si="1"/>
        <v>0</v>
      </c>
    </row>
    <row r="20" spans="2:12">
      <c r="B20" s="719"/>
      <c r="C20" s="719"/>
      <c r="D20" s="803"/>
      <c r="E20" s="803"/>
      <c r="F20" s="803"/>
      <c r="G20" s="803"/>
      <c r="H20" s="803"/>
      <c r="I20" s="803"/>
      <c r="J20" s="803"/>
      <c r="K20" s="803"/>
      <c r="L20" s="719"/>
    </row>
    <row r="21" spans="2:12">
      <c r="B21" s="13" t="s">
        <v>327</v>
      </c>
      <c r="C21" s="121"/>
      <c r="D21" s="804"/>
      <c r="E21" s="804"/>
      <c r="F21" s="804"/>
      <c r="G21" s="804"/>
      <c r="H21" s="804"/>
      <c r="I21" s="804"/>
      <c r="J21" s="804"/>
      <c r="K21" s="804"/>
      <c r="L21" s="121"/>
    </row>
    <row r="22" spans="2:12">
      <c r="B22" s="719" t="s">
        <v>485</v>
      </c>
      <c r="C22" s="121" t="s">
        <v>125</v>
      </c>
      <c r="D22" s="805">
        <f>('R5 - Output Incentives'!D102)*INDEX(Data!$G$14:$G$30,MATCH('R10 - Tax'!D$6,Data!$C$14:$C$30,0),1)</f>
        <v>0.93932324999999983</v>
      </c>
      <c r="E22" s="806">
        <f>('R5 - Output Incentives'!E102)*INDEX(Data!$G$14:$G$30,MATCH('R10 - Tax'!E$6,Data!$C$14:$C$30,0),1)</f>
        <v>1.4324174549999995</v>
      </c>
      <c r="F22" s="806">
        <f>('R5 - Output Incentives'!F102)*INDEX(Data!$G$14:$G$30,MATCH('R10 - Tax'!F$6,Data!$C$14:$C$30,0),1)</f>
        <v>2.229866282651471</v>
      </c>
      <c r="G22" s="806">
        <f>('R5 - Output Incentives'!G102)*INDEX(Data!$G$14:$G$30,MATCH('R10 - Tax'!G$6,Data!$C$14:$C$30,0),1)</f>
        <v>1.4050583574842206</v>
      </c>
      <c r="H22" s="643">
        <f>('R5 - Output Incentives'!H102)*INDEX(Data!$G$14:$G$30,MATCH('R10 - Tax'!H$6,Data!$C$14:$C$30,0),1)</f>
        <v>1.8605186147689234</v>
      </c>
      <c r="I22" s="643">
        <f>('R5 - Output Incentives'!I102)*INDEX(Data!$G$14:$G$30,MATCH('R10 - Tax'!I$6,Data!$C$14:$C$30,0),1)</f>
        <v>1.5282600604409851</v>
      </c>
      <c r="J22" s="643">
        <f>('R5 - Output Incentives'!J102)*INDEX(Data!$G$14:$G$30,MATCH('R10 - Tax'!J$6,Data!$C$14:$C$30,0),1)</f>
        <v>1.5780381277259816</v>
      </c>
      <c r="K22" s="644">
        <f>('R5 - Output Incentives'!K102)*INDEX(Data!$G$14:$G$30,MATCH('R10 - Tax'!K$6,Data!$C$14:$C$30,0),1)</f>
        <v>1.4071272601340696</v>
      </c>
    </row>
    <row r="23" spans="2:12">
      <c r="B23" s="719" t="s">
        <v>486</v>
      </c>
      <c r="C23" s="121" t="s">
        <v>125</v>
      </c>
      <c r="D23" s="768">
        <f>('R4 - Totex'!D77-'R4 - Totex'!D79)*D39</f>
        <v>0</v>
      </c>
      <c r="E23" s="770">
        <f>('R4 - Totex'!E77-'R4 - Totex'!E79)*E39</f>
        <v>0</v>
      </c>
      <c r="F23" s="770">
        <f>('R4 - Totex'!F77-'R4 - Totex'!F79)*F39</f>
        <v>0</v>
      </c>
      <c r="G23" s="770">
        <f>('R4 - Totex'!G77-'R4 - Totex'!G79)*G39</f>
        <v>0</v>
      </c>
      <c r="H23" s="645">
        <f>('R4 - Totex'!H77-'R4 - Totex'!H79)*H39</f>
        <v>0</v>
      </c>
      <c r="I23" s="645">
        <f>('R4 - Totex'!I77-'R4 - Totex'!I79)*I39</f>
        <v>0</v>
      </c>
      <c r="J23" s="645">
        <f>('R4 - Totex'!J77-'R4 - Totex'!J79)*J39</f>
        <v>0</v>
      </c>
      <c r="K23" s="646">
        <f>('R4 - Totex'!K77-'R4 - Totex'!K79)*K39</f>
        <v>0</v>
      </c>
    </row>
    <row r="24" spans="2:12">
      <c r="B24" s="719" t="s">
        <v>487</v>
      </c>
      <c r="C24" s="121" t="s">
        <v>125</v>
      </c>
      <c r="D24" s="492">
        <v>0</v>
      </c>
      <c r="E24" s="493">
        <v>0</v>
      </c>
      <c r="F24" s="493">
        <v>0</v>
      </c>
      <c r="G24" s="493">
        <v>0</v>
      </c>
      <c r="H24" s="493">
        <v>0</v>
      </c>
      <c r="I24" s="493">
        <v>0</v>
      </c>
      <c r="J24" s="493">
        <v>0</v>
      </c>
      <c r="K24" s="499">
        <v>0</v>
      </c>
    </row>
    <row r="25" spans="2:12">
      <c r="B25" s="719" t="s">
        <v>488</v>
      </c>
      <c r="C25" s="121" t="s">
        <v>125</v>
      </c>
      <c r="D25" s="494">
        <v>0</v>
      </c>
      <c r="E25" s="495">
        <v>0</v>
      </c>
      <c r="F25" s="495">
        <v>0</v>
      </c>
      <c r="G25" s="495">
        <v>0</v>
      </c>
      <c r="H25" s="495">
        <v>0</v>
      </c>
      <c r="I25" s="495">
        <v>0</v>
      </c>
      <c r="J25" s="495">
        <v>0</v>
      </c>
      <c r="K25" s="500">
        <v>0</v>
      </c>
    </row>
    <row r="26" spans="2:12">
      <c r="B26" s="719" t="s">
        <v>489</v>
      </c>
      <c r="C26" s="121" t="s">
        <v>125</v>
      </c>
      <c r="D26" s="494">
        <v>0</v>
      </c>
      <c r="E26" s="495">
        <v>0</v>
      </c>
      <c r="F26" s="495">
        <v>0</v>
      </c>
      <c r="G26" s="495">
        <v>0</v>
      </c>
      <c r="H26" s="495">
        <v>0</v>
      </c>
      <c r="I26" s="495">
        <v>0</v>
      </c>
      <c r="J26" s="495">
        <v>0</v>
      </c>
      <c r="K26" s="500">
        <v>0</v>
      </c>
    </row>
    <row r="27" spans="2:12">
      <c r="B27" s="719" t="s">
        <v>490</v>
      </c>
      <c r="C27" s="121" t="s">
        <v>125</v>
      </c>
      <c r="D27" s="494">
        <v>0</v>
      </c>
      <c r="E27" s="495">
        <v>0</v>
      </c>
      <c r="F27" s="495">
        <v>0</v>
      </c>
      <c r="G27" s="495">
        <v>0</v>
      </c>
      <c r="H27" s="495">
        <v>0</v>
      </c>
      <c r="I27" s="495">
        <v>0</v>
      </c>
      <c r="J27" s="495">
        <v>0</v>
      </c>
      <c r="K27" s="500">
        <v>0</v>
      </c>
    </row>
    <row r="28" spans="2:12">
      <c r="B28" s="719" t="s">
        <v>565</v>
      </c>
      <c r="C28" s="121" t="s">
        <v>125</v>
      </c>
      <c r="D28" s="494">
        <v>0</v>
      </c>
      <c r="E28" s="495">
        <v>0</v>
      </c>
      <c r="F28" s="495">
        <v>0</v>
      </c>
      <c r="G28" s="495">
        <v>0</v>
      </c>
      <c r="H28" s="495">
        <v>0</v>
      </c>
      <c r="I28" s="495">
        <v>0</v>
      </c>
      <c r="J28" s="495">
        <v>0</v>
      </c>
      <c r="K28" s="500">
        <v>0</v>
      </c>
    </row>
    <row r="29" spans="2:12">
      <c r="B29" s="801" t="s">
        <v>584</v>
      </c>
      <c r="C29" s="121" t="s">
        <v>125</v>
      </c>
      <c r="D29" s="494">
        <v>-6.4800384000000006</v>
      </c>
      <c r="E29" s="495">
        <v>-10.196249400000001</v>
      </c>
      <c r="F29" s="495">
        <v>4.4272557400000006</v>
      </c>
      <c r="G29" s="495">
        <v>5.9824524800000001</v>
      </c>
      <c r="H29" s="495">
        <v>3.5850736020218572</v>
      </c>
      <c r="I29" s="495">
        <v>0</v>
      </c>
      <c r="J29" s="495">
        <v>0</v>
      </c>
      <c r="K29" s="500">
        <v>0</v>
      </c>
    </row>
    <row r="30" spans="2:12">
      <c r="B30" s="801" t="s">
        <v>585</v>
      </c>
      <c r="C30" s="121" t="s">
        <v>125</v>
      </c>
      <c r="D30" s="494">
        <v>0</v>
      </c>
      <c r="E30" s="495">
        <v>-0.11102341000000016</v>
      </c>
      <c r="F30" s="495">
        <v>0</v>
      </c>
      <c r="G30" s="495">
        <v>0</v>
      </c>
      <c r="H30" s="495">
        <v>0</v>
      </c>
      <c r="I30" s="495">
        <v>0</v>
      </c>
      <c r="J30" s="495">
        <v>0</v>
      </c>
      <c r="K30" s="500">
        <v>0</v>
      </c>
    </row>
    <row r="31" spans="2:12">
      <c r="B31" s="801" t="s">
        <v>586</v>
      </c>
      <c r="C31" s="121" t="s">
        <v>125</v>
      </c>
      <c r="D31" s="494">
        <v>15.936257447376573</v>
      </c>
      <c r="E31" s="495">
        <v>6.104279771439983</v>
      </c>
      <c r="F31" s="495">
        <v>-3.9144783594384354</v>
      </c>
      <c r="G31" s="495">
        <v>4.2885394187127623</v>
      </c>
      <c r="H31" s="495">
        <v>7.2177105454584058</v>
      </c>
      <c r="I31" s="495">
        <v>0</v>
      </c>
      <c r="J31" s="495">
        <v>0</v>
      </c>
      <c r="K31" s="500">
        <v>0</v>
      </c>
    </row>
    <row r="32" spans="2:12">
      <c r="B32" s="801" t="s">
        <v>583</v>
      </c>
      <c r="C32" s="121" t="s">
        <v>125</v>
      </c>
      <c r="D32" s="494">
        <v>0</v>
      </c>
      <c r="E32" s="495">
        <v>0</v>
      </c>
      <c r="F32" s="495">
        <v>0</v>
      </c>
      <c r="G32" s="495">
        <v>0</v>
      </c>
      <c r="H32" s="495">
        <v>0</v>
      </c>
      <c r="I32" s="495">
        <v>0</v>
      </c>
      <c r="J32" s="495">
        <v>0</v>
      </c>
      <c r="K32" s="500">
        <v>0</v>
      </c>
    </row>
    <row r="33" spans="2:13">
      <c r="B33" s="801" t="s">
        <v>587</v>
      </c>
      <c r="C33" s="121" t="s">
        <v>125</v>
      </c>
      <c r="D33" s="834">
        <v>0</v>
      </c>
      <c r="E33" s="835">
        <v>0</v>
      </c>
      <c r="F33" s="835">
        <v>0</v>
      </c>
      <c r="G33" s="835">
        <v>0</v>
      </c>
      <c r="H33" s="835">
        <v>0</v>
      </c>
      <c r="I33" s="835">
        <v>0</v>
      </c>
      <c r="J33" s="835">
        <v>0</v>
      </c>
      <c r="K33" s="504">
        <v>0</v>
      </c>
    </row>
    <row r="34" spans="2:13">
      <c r="B34" s="13" t="s">
        <v>173</v>
      </c>
      <c r="C34" s="121" t="s">
        <v>125</v>
      </c>
      <c r="D34" s="580">
        <f t="shared" ref="D34:K34" si="2">SUM(D22:D33)</f>
        <v>10.395542297376572</v>
      </c>
      <c r="E34" s="581">
        <f t="shared" si="2"/>
        <v>-2.7705755835600181</v>
      </c>
      <c r="F34" s="581">
        <f t="shared" si="2"/>
        <v>2.7426436632130358</v>
      </c>
      <c r="G34" s="581">
        <f t="shared" si="2"/>
        <v>11.676050256196984</v>
      </c>
      <c r="H34" s="581">
        <f t="shared" si="2"/>
        <v>12.663302762249186</v>
      </c>
      <c r="I34" s="581">
        <f t="shared" si="2"/>
        <v>1.5282600604409851</v>
      </c>
      <c r="J34" s="581">
        <f t="shared" si="2"/>
        <v>1.5780381277259816</v>
      </c>
      <c r="K34" s="582">
        <f t="shared" si="2"/>
        <v>1.4071272601340696</v>
      </c>
    </row>
    <row r="36" spans="2:13" ht="12.75" customHeight="1">
      <c r="B36" s="728" t="s">
        <v>497</v>
      </c>
      <c r="C36" s="121" t="s">
        <v>125</v>
      </c>
      <c r="D36" s="492"/>
      <c r="E36" s="493"/>
      <c r="F36" s="493"/>
      <c r="G36" s="493"/>
      <c r="H36" s="493"/>
      <c r="I36" s="493">
        <v>9.6156266724091992</v>
      </c>
      <c r="J36" s="493">
        <v>6.544115871857155</v>
      </c>
      <c r="K36" s="499">
        <v>0.16085646417069266</v>
      </c>
    </row>
    <row r="37" spans="2:13" ht="12.75" customHeight="1">
      <c r="B37" s="728" t="s">
        <v>466</v>
      </c>
      <c r="C37" s="121" t="s">
        <v>125</v>
      </c>
      <c r="D37" s="918">
        <f t="shared" ref="D37:K37" si="3">D12+D36-D19-D34</f>
        <v>6.1299801026234313</v>
      </c>
      <c r="E37" s="919">
        <f>E12+E36-E19-E34</f>
        <v>5.6067189735600182</v>
      </c>
      <c r="F37" s="919">
        <f>F12+F36-F19-F34</f>
        <v>5.9333405867869651</v>
      </c>
      <c r="G37" s="919">
        <f>G12+G36-G19-G34</f>
        <v>4.9402800438030177</v>
      </c>
      <c r="H37" s="919">
        <f t="shared" si="3"/>
        <v>8.7699588377508153</v>
      </c>
      <c r="I37" s="919">
        <f t="shared" si="3"/>
        <v>8.0873666119682142</v>
      </c>
      <c r="J37" s="919">
        <f t="shared" si="3"/>
        <v>4.966077744131173</v>
      </c>
      <c r="K37" s="920">
        <f t="shared" si="3"/>
        <v>-1.246270795963377</v>
      </c>
    </row>
    <row r="38" spans="2:13" ht="12.75" customHeight="1">
      <c r="B38" s="720"/>
      <c r="C38" s="121"/>
      <c r="D38" s="121"/>
      <c r="E38" s="121"/>
      <c r="F38" s="121"/>
      <c r="G38" s="121"/>
      <c r="H38" s="121"/>
      <c r="I38" s="121"/>
      <c r="J38" s="121"/>
      <c r="K38" s="121"/>
    </row>
    <row r="39" spans="2:13">
      <c r="B39" t="s">
        <v>474</v>
      </c>
      <c r="C39" s="697" t="s">
        <v>124</v>
      </c>
      <c r="D39" s="95">
        <f>Data!C$34</f>
        <v>1.0603167467048125</v>
      </c>
      <c r="E39" s="96">
        <f>Data!D$34</f>
        <v>1.0830366813119445</v>
      </c>
      <c r="F39" s="96">
        <f>Data!E$34</f>
        <v>1.1235639113109226</v>
      </c>
      <c r="G39" s="96">
        <f>Data!F$34</f>
        <v>1.1578951670583426</v>
      </c>
      <c r="H39" s="96">
        <f>Data!G$34</f>
        <v>1.1878696229692449</v>
      </c>
      <c r="I39" s="96">
        <f>Data!H$34</f>
        <v>1.202275126868976</v>
      </c>
      <c r="J39" s="96">
        <f>Data!I$34</f>
        <v>1.2717209904294811</v>
      </c>
      <c r="K39" s="97">
        <f>Data!J$34</f>
        <v>1.3772738326351281</v>
      </c>
      <c r="L39" s="121"/>
    </row>
    <row r="40" spans="2:13">
      <c r="B40" s="720"/>
      <c r="C40" s="121"/>
      <c r="D40" s="121"/>
      <c r="E40" s="121"/>
      <c r="F40" s="121"/>
      <c r="G40" s="121"/>
      <c r="H40" s="121"/>
      <c r="I40" s="121"/>
      <c r="J40" s="121"/>
      <c r="K40" s="121"/>
    </row>
    <row r="41" spans="2:13">
      <c r="B41" s="728" t="s">
        <v>467</v>
      </c>
      <c r="C41" s="171" t="str">
        <f>'RFPR cover'!$C$14</f>
        <v>£m 12/13</v>
      </c>
      <c r="D41" s="580">
        <f t="shared" ref="D41:K41" si="4">D37/D39</f>
        <v>5.7812725505598292</v>
      </c>
      <c r="E41" s="581">
        <f t="shared" si="4"/>
        <v>5.1768504892819305</v>
      </c>
      <c r="F41" s="581">
        <f t="shared" si="4"/>
        <v>5.2808216133110015</v>
      </c>
      <c r="G41" s="581">
        <f t="shared" si="4"/>
        <v>4.266603907117001</v>
      </c>
      <c r="H41" s="581">
        <f t="shared" si="4"/>
        <v>7.382930473320032</v>
      </c>
      <c r="I41" s="581">
        <f t="shared" si="4"/>
        <v>6.7267187278753173</v>
      </c>
      <c r="J41" s="581">
        <f t="shared" si="4"/>
        <v>3.905005721777107</v>
      </c>
      <c r="K41" s="582">
        <f t="shared" si="4"/>
        <v>-0.90488235994355315</v>
      </c>
    </row>
    <row r="42" spans="2:13">
      <c r="B42" s="728"/>
      <c r="C42" s="728"/>
      <c r="D42" s="830"/>
      <c r="E42" s="830"/>
      <c r="F42" s="830"/>
      <c r="G42" s="830"/>
      <c r="H42" s="830"/>
      <c r="I42" s="830"/>
      <c r="J42" s="830"/>
      <c r="K42" s="830"/>
    </row>
    <row r="43" spans="2:13">
      <c r="B43" s="625" t="s">
        <v>447</v>
      </c>
      <c r="C43" s="171"/>
      <c r="D43" s="171"/>
      <c r="E43" s="171"/>
      <c r="F43" s="171"/>
      <c r="G43" s="171"/>
      <c r="H43" s="171"/>
      <c r="I43" s="171"/>
      <c r="J43" s="171"/>
      <c r="K43" s="171"/>
    </row>
    <row r="44" spans="2:13">
      <c r="B44" s="301" t="s">
        <v>435</v>
      </c>
      <c r="C44" s="728"/>
      <c r="D44" s="830"/>
      <c r="E44" s="830"/>
      <c r="F44" s="830"/>
      <c r="G44" s="830"/>
      <c r="H44" s="830"/>
      <c r="I44" s="830"/>
      <c r="J44" s="830"/>
      <c r="K44" s="830"/>
      <c r="L44" s="728"/>
      <c r="M44" s="728"/>
    </row>
    <row r="46" spans="2:13" ht="12.75" customHeight="1">
      <c r="B46" s="174" t="s">
        <v>112</v>
      </c>
      <c r="C46" s="736" t="s">
        <v>7</v>
      </c>
      <c r="D46" s="661">
        <f>'RFPR cover'!$C$12</f>
        <v>0.65</v>
      </c>
      <c r="E46" s="662">
        <f>'RFPR cover'!$C$12</f>
        <v>0.65</v>
      </c>
      <c r="F46" s="662">
        <f>'RFPR cover'!$C$12</f>
        <v>0.65</v>
      </c>
      <c r="G46" s="662">
        <f>'RFPR cover'!$C$12</f>
        <v>0.65</v>
      </c>
      <c r="H46" s="662">
        <f>'RFPR cover'!$C$12</f>
        <v>0.65</v>
      </c>
      <c r="I46" s="662">
        <f>'RFPR cover'!$C$12</f>
        <v>0.65</v>
      </c>
      <c r="J46" s="662">
        <f>'RFPR cover'!$C$12</f>
        <v>0.65</v>
      </c>
      <c r="K46" s="663">
        <f>'RFPR cover'!$C$12</f>
        <v>0.65</v>
      </c>
    </row>
    <row r="47" spans="2:13" ht="12.75" customHeight="1">
      <c r="B47" s="174" t="s">
        <v>397</v>
      </c>
      <c r="C47" s="736" t="s">
        <v>7</v>
      </c>
      <c r="D47" s="661">
        <f>'R8 - Net Debt'!D57</f>
        <v>0.63015417557932418</v>
      </c>
      <c r="E47" s="662">
        <f>'R8 - Net Debt'!E57</f>
        <v>0.60794137636101053</v>
      </c>
      <c r="F47" s="662">
        <f>'R8 - Net Debt'!F57</f>
        <v>0.60357895101907866</v>
      </c>
      <c r="G47" s="662">
        <f>'R8 - Net Debt'!G57</f>
        <v>0.62640691071720378</v>
      </c>
      <c r="H47" s="662">
        <f>'R8 - Net Debt'!H57</f>
        <v>0.64189590292998522</v>
      </c>
      <c r="I47" s="662">
        <f>'R8 - Net Debt'!I57</f>
        <v>0.64947693452489719</v>
      </c>
      <c r="J47" s="662">
        <f>'R8 - Net Debt'!J57</f>
        <v>0.62609947254540022</v>
      </c>
      <c r="K47" s="663">
        <f>'R8 - Net Debt'!K57</f>
        <v>0.62060046072186326</v>
      </c>
    </row>
    <row r="48" spans="2:13" ht="12.75" customHeight="1">
      <c r="B48" s="174"/>
      <c r="C48" s="736"/>
      <c r="D48" s="736"/>
      <c r="E48" s="736"/>
      <c r="F48" s="736"/>
      <c r="G48" s="736"/>
      <c r="H48" s="736"/>
      <c r="I48" s="736"/>
      <c r="J48" s="736"/>
      <c r="K48" s="736"/>
      <c r="L48" s="736"/>
    </row>
    <row r="49" spans="2:13" ht="12.75" customHeight="1">
      <c r="B49" s="728" t="s">
        <v>467</v>
      </c>
      <c r="C49" s="121" t="s">
        <v>125</v>
      </c>
      <c r="D49" s="921">
        <f>D37</f>
        <v>6.1299801026234313</v>
      </c>
      <c r="E49" s="922">
        <f t="shared" ref="E49:K49" si="5">E37</f>
        <v>5.6067189735600182</v>
      </c>
      <c r="F49" s="922">
        <f t="shared" si="5"/>
        <v>5.9333405867869651</v>
      </c>
      <c r="G49" s="922">
        <f t="shared" si="5"/>
        <v>4.9402800438030177</v>
      </c>
      <c r="H49" s="922">
        <f t="shared" si="5"/>
        <v>8.7699588377508153</v>
      </c>
      <c r="I49" s="922">
        <f t="shared" si="5"/>
        <v>8.0873666119682142</v>
      </c>
      <c r="J49" s="922">
        <f t="shared" si="5"/>
        <v>4.966077744131173</v>
      </c>
      <c r="K49" s="923">
        <f t="shared" si="5"/>
        <v>-1.246270795963377</v>
      </c>
    </row>
    <row r="50" spans="2:13">
      <c r="B50" s="174" t="s">
        <v>448</v>
      </c>
      <c r="C50" s="121" t="s">
        <v>125</v>
      </c>
      <c r="D50" s="924">
        <f>D85-D87</f>
        <v>-0.21906784591307993</v>
      </c>
      <c r="E50" s="925">
        <f t="shared" ref="E50:K50" si="6">E85-E87</f>
        <v>-0.26816845144228463</v>
      </c>
      <c r="F50" s="925">
        <f t="shared" si="6"/>
        <v>2.6441023754300907E-2</v>
      </c>
      <c r="G50" s="925">
        <f t="shared" si="6"/>
        <v>-1.7646032613963136E-2</v>
      </c>
      <c r="H50" s="925">
        <f t="shared" si="6"/>
        <v>-1.8408362883173712E-2</v>
      </c>
      <c r="I50" s="925">
        <f t="shared" si="6"/>
        <v>-3.2866180888602159E-3</v>
      </c>
      <c r="J50" s="925">
        <f t="shared" si="6"/>
        <v>0.3451673777004487</v>
      </c>
      <c r="K50" s="926">
        <f t="shared" si="6"/>
        <v>0.732125410608095</v>
      </c>
      <c r="L50" s="121"/>
    </row>
    <row r="51" spans="2:13">
      <c r="B51" s="174" t="s">
        <v>405</v>
      </c>
      <c r="C51" s="121" t="s">
        <v>125</v>
      </c>
      <c r="D51" s="918">
        <f>SUM(D49:D50)</f>
        <v>5.9109122567103514</v>
      </c>
      <c r="E51" s="919">
        <f t="shared" ref="E51:K51" si="7">SUM(E49:E50)</f>
        <v>5.3385505221177336</v>
      </c>
      <c r="F51" s="919">
        <f t="shared" si="7"/>
        <v>5.959781610541266</v>
      </c>
      <c r="G51" s="919">
        <f t="shared" si="7"/>
        <v>4.9226340111890545</v>
      </c>
      <c r="H51" s="919">
        <f t="shared" si="7"/>
        <v>8.751550474867642</v>
      </c>
      <c r="I51" s="919">
        <f t="shared" si="7"/>
        <v>8.0840799938793531</v>
      </c>
      <c r="J51" s="919">
        <f t="shared" si="7"/>
        <v>5.3112451218316217</v>
      </c>
      <c r="K51" s="920">
        <f t="shared" si="7"/>
        <v>-0.51414538535528198</v>
      </c>
      <c r="L51" s="121"/>
    </row>
    <row r="53" spans="2:13">
      <c r="B53" s="174" t="s">
        <v>405</v>
      </c>
      <c r="C53" s="171" t="str">
        <f>'RFPR cover'!$C$14</f>
        <v>£m 12/13</v>
      </c>
      <c r="D53" s="580">
        <f>D51/D39</f>
        <v>5.5746665089275664</v>
      </c>
      <c r="E53" s="581">
        <f t="shared" ref="E53:K53" si="8">E51/E39</f>
        <v>4.9292425771312205</v>
      </c>
      <c r="F53" s="581">
        <f t="shared" si="8"/>
        <v>5.3043547861800473</v>
      </c>
      <c r="G53" s="581">
        <f t="shared" si="8"/>
        <v>4.2513641573400047</v>
      </c>
      <c r="H53" s="581">
        <f t="shared" si="8"/>
        <v>7.367433517654848</v>
      </c>
      <c r="I53" s="581">
        <f t="shared" si="8"/>
        <v>6.7239850623312085</v>
      </c>
      <c r="J53" s="581">
        <f t="shared" si="8"/>
        <v>4.1764232577760056</v>
      </c>
      <c r="K53" s="582">
        <f t="shared" si="8"/>
        <v>-0.3733065808500633</v>
      </c>
    </row>
    <row r="54" spans="2:13">
      <c r="B54" s="174"/>
      <c r="C54" s="171"/>
      <c r="D54" s="171"/>
      <c r="E54" s="171"/>
      <c r="F54" s="171"/>
      <c r="G54" s="171"/>
      <c r="H54" s="171"/>
      <c r="I54" s="171"/>
      <c r="J54" s="171"/>
      <c r="K54" s="171"/>
    </row>
    <row r="56" spans="2:13">
      <c r="B56" s="807" t="s">
        <v>371</v>
      </c>
      <c r="C56" s="808"/>
      <c r="D56" s="808"/>
      <c r="E56" s="808"/>
      <c r="F56" s="808"/>
      <c r="G56" s="808"/>
      <c r="H56" s="808"/>
      <c r="I56" s="808"/>
      <c r="J56" s="808"/>
      <c r="K56" s="808"/>
      <c r="L56" s="808"/>
      <c r="M56" s="728"/>
    </row>
    <row r="57" spans="2:13">
      <c r="B57" s="720"/>
      <c r="C57" s="728"/>
      <c r="D57" s="830"/>
      <c r="E57" s="830"/>
      <c r="F57" s="830"/>
      <c r="G57" s="830"/>
      <c r="H57" s="830"/>
      <c r="I57" s="830"/>
      <c r="J57" s="830"/>
      <c r="K57" s="830"/>
      <c r="L57" s="728"/>
      <c r="M57" s="728"/>
    </row>
    <row r="58" spans="2:13">
      <c r="B58" s="300" t="s">
        <v>468</v>
      </c>
      <c r="C58" s="234"/>
      <c r="D58" s="234"/>
      <c r="E58" s="234"/>
      <c r="F58" s="234"/>
      <c r="G58" s="234"/>
      <c r="H58" s="234"/>
      <c r="I58" s="234"/>
      <c r="J58" s="234"/>
      <c r="K58" s="234"/>
      <c r="L58" s="234"/>
    </row>
    <row r="59" spans="2:13">
      <c r="B59" s="751"/>
      <c r="C59" s="2"/>
      <c r="D59" s="2"/>
      <c r="E59" s="2"/>
      <c r="F59" s="2"/>
      <c r="G59" s="2"/>
      <c r="H59" s="2"/>
      <c r="I59" s="2"/>
      <c r="J59" s="2"/>
      <c r="K59" s="2"/>
      <c r="L59" s="2"/>
    </row>
    <row r="60" spans="2:13">
      <c r="B60" t="s">
        <v>370</v>
      </c>
      <c r="C60" s="171" t="str">
        <f>'RFPR cover'!$C$14</f>
        <v>£m 12/13</v>
      </c>
      <c r="D60" s="492">
        <v>3.8182034208679272</v>
      </c>
      <c r="E60" s="493">
        <v>1.6762335927035172</v>
      </c>
      <c r="F60" s="493">
        <v>1.6627418829343201</v>
      </c>
      <c r="G60" s="493">
        <v>1.1985902361917724</v>
      </c>
      <c r="H60" s="493">
        <v>0.70600499922483984</v>
      </c>
      <c r="I60" s="493">
        <v>0.83895867646933198</v>
      </c>
      <c r="J60" s="493">
        <v>7.3659879008896665</v>
      </c>
      <c r="K60" s="499">
        <v>6.7938101550249881</v>
      </c>
    </row>
    <row r="61" spans="2:13">
      <c r="B61" t="s">
        <v>373</v>
      </c>
      <c r="C61" s="171" t="str">
        <f>'RFPR cover'!$C$14</f>
        <v>£m 12/13</v>
      </c>
      <c r="D61" s="834">
        <v>0</v>
      </c>
      <c r="E61" s="835">
        <v>0</v>
      </c>
      <c r="F61" s="835">
        <v>0</v>
      </c>
      <c r="G61" s="835">
        <v>0</v>
      </c>
      <c r="H61" s="835">
        <v>4.795759948298433</v>
      </c>
      <c r="I61" s="835">
        <v>4.2598723307909658</v>
      </c>
      <c r="J61" s="835">
        <v>-0.63605330785817937</v>
      </c>
      <c r="K61" s="504">
        <v>-4.4702952576432118</v>
      </c>
    </row>
    <row r="62" spans="2:13">
      <c r="B62" t="s">
        <v>374</v>
      </c>
      <c r="C62" s="171" t="str">
        <f>'RFPR cover'!$C$14</f>
        <v>£m 12/13</v>
      </c>
      <c r="D62" s="577">
        <f t="shared" ref="D62:K62" si="9">SUM(D60:D61)</f>
        <v>3.8182034208679272</v>
      </c>
      <c r="E62" s="578">
        <f t="shared" si="9"/>
        <v>1.6762335927035172</v>
      </c>
      <c r="F62" s="578">
        <f t="shared" si="9"/>
        <v>1.6627418829343201</v>
      </c>
      <c r="G62" s="578">
        <f t="shared" si="9"/>
        <v>1.1985902361917724</v>
      </c>
      <c r="H62" s="578">
        <f t="shared" si="9"/>
        <v>5.5017649475232728</v>
      </c>
      <c r="I62" s="578">
        <f t="shared" si="9"/>
        <v>5.0988310072602978</v>
      </c>
      <c r="J62" s="578">
        <f t="shared" si="9"/>
        <v>6.7299345930314871</v>
      </c>
      <c r="K62" s="579">
        <f t="shared" si="9"/>
        <v>2.3235148973817763</v>
      </c>
    </row>
    <row r="63" spans="2:13">
      <c r="C63" s="171"/>
      <c r="D63" s="171"/>
      <c r="E63" s="171"/>
      <c r="F63" s="171"/>
      <c r="G63" s="171"/>
      <c r="H63" s="171"/>
      <c r="I63" s="171"/>
      <c r="J63" s="171"/>
      <c r="K63" s="171"/>
      <c r="L63" s="171"/>
    </row>
    <row r="64" spans="2:13">
      <c r="B64" s="422" t="s">
        <v>469</v>
      </c>
      <c r="C64" s="234"/>
      <c r="D64" s="234"/>
      <c r="E64" s="234"/>
      <c r="F64" s="234"/>
      <c r="G64" s="234"/>
      <c r="H64" s="234"/>
      <c r="I64" s="234"/>
      <c r="J64" s="234"/>
      <c r="K64" s="234"/>
      <c r="L64" s="234"/>
    </row>
    <row r="65" spans="2:12">
      <c r="B65" s="809"/>
      <c r="C65" s="2"/>
      <c r="D65" s="2"/>
      <c r="E65" s="2"/>
      <c r="F65" s="2"/>
      <c r="G65" s="2"/>
      <c r="H65" s="2"/>
      <c r="I65" s="2"/>
      <c r="J65" s="2"/>
      <c r="K65" s="2"/>
      <c r="L65" s="2"/>
    </row>
    <row r="66" spans="2:12">
      <c r="B66" t="s">
        <v>361</v>
      </c>
      <c r="C66" s="171" t="str">
        <f>'RFPR cover'!$C$14</f>
        <v>£m 12/13</v>
      </c>
      <c r="D66" s="492">
        <v>3.5630331488927802</v>
      </c>
      <c r="E66" s="493">
        <v>1.3537537400212738</v>
      </c>
      <c r="F66" s="493">
        <v>1.976599110302689</v>
      </c>
      <c r="G66" s="493">
        <v>2.4937407504213263</v>
      </c>
      <c r="H66" s="493">
        <v>1.0185708350842322</v>
      </c>
      <c r="I66" s="493">
        <v>0.41986794428901975</v>
      </c>
      <c r="J66" s="493">
        <v>1.1513892022317451</v>
      </c>
      <c r="K66" s="499">
        <v>1.9600356805848564</v>
      </c>
    </row>
    <row r="67" spans="2:12">
      <c r="B67" t="s">
        <v>376</v>
      </c>
      <c r="C67" s="171" t="str">
        <f>'RFPR cover'!$C$14</f>
        <v>£m 12/13</v>
      </c>
      <c r="D67" s="834">
        <v>0</v>
      </c>
      <c r="E67" s="835">
        <v>0</v>
      </c>
      <c r="F67" s="835">
        <v>0</v>
      </c>
      <c r="G67" s="835">
        <v>0</v>
      </c>
      <c r="H67" s="835">
        <v>4.7764657608997165</v>
      </c>
      <c r="I67" s="835">
        <v>4.4238232463373652</v>
      </c>
      <c r="J67" s="835">
        <v>-0.48981971142860514</v>
      </c>
      <c r="K67" s="504">
        <v>-1.9600356805848564</v>
      </c>
    </row>
    <row r="68" spans="2:12">
      <c r="B68" s="13" t="s">
        <v>377</v>
      </c>
      <c r="C68" s="171" t="str">
        <f>'RFPR cover'!$C$14</f>
        <v>£m 12/13</v>
      </c>
      <c r="D68" s="501">
        <f t="shared" ref="D68:K68" si="10">SUM(D66:D67)</f>
        <v>3.5630331488927802</v>
      </c>
      <c r="E68" s="502">
        <f t="shared" si="10"/>
        <v>1.3537537400212738</v>
      </c>
      <c r="F68" s="502">
        <f t="shared" si="10"/>
        <v>1.976599110302689</v>
      </c>
      <c r="G68" s="502">
        <f t="shared" si="10"/>
        <v>2.4937407504213263</v>
      </c>
      <c r="H68" s="502">
        <f t="shared" si="10"/>
        <v>5.7950365959839489</v>
      </c>
      <c r="I68" s="502">
        <f t="shared" si="10"/>
        <v>4.8436911906263846</v>
      </c>
      <c r="J68" s="502">
        <f t="shared" si="10"/>
        <v>0.66156949080313998</v>
      </c>
      <c r="K68" s="503">
        <f t="shared" si="10"/>
        <v>0</v>
      </c>
    </row>
    <row r="69" spans="2:12">
      <c r="B69" s="809"/>
      <c r="C69" s="2"/>
      <c r="D69" s="810"/>
      <c r="E69" s="810"/>
      <c r="F69" s="810"/>
      <c r="G69" s="810"/>
      <c r="H69" s="810"/>
      <c r="I69" s="810"/>
      <c r="J69" s="810"/>
      <c r="K69" s="810"/>
      <c r="L69" s="2"/>
    </row>
    <row r="70" spans="2:12">
      <c r="B70" s="811" t="s">
        <v>375</v>
      </c>
      <c r="C70" s="2"/>
      <c r="D70" s="558">
        <f t="shared" ref="D70:K70" si="11">D68-D62</f>
        <v>-0.25517027197514697</v>
      </c>
      <c r="E70" s="559">
        <f t="shared" si="11"/>
        <v>-0.32247985268224344</v>
      </c>
      <c r="F70" s="559">
        <f t="shared" si="11"/>
        <v>0.31385722736836885</v>
      </c>
      <c r="G70" s="559">
        <f t="shared" si="11"/>
        <v>1.2951505142295539</v>
      </c>
      <c r="H70" s="559">
        <f t="shared" si="11"/>
        <v>0.2932716484606761</v>
      </c>
      <c r="I70" s="559">
        <f t="shared" si="11"/>
        <v>-0.25513981663391316</v>
      </c>
      <c r="J70" s="559">
        <f t="shared" si="11"/>
        <v>-6.0683651022283467</v>
      </c>
      <c r="K70" s="560">
        <f t="shared" si="11"/>
        <v>-2.3235148973817763</v>
      </c>
      <c r="L70" s="2"/>
    </row>
    <row r="71" spans="2:12">
      <c r="B71" t="s">
        <v>372</v>
      </c>
      <c r="C71" s="171" t="str">
        <f>'RFPR cover'!$C$14</f>
        <v>£m 12/13</v>
      </c>
      <c r="D71" s="492">
        <v>0</v>
      </c>
      <c r="E71" s="493">
        <v>0</v>
      </c>
      <c r="F71" s="493">
        <v>0</v>
      </c>
      <c r="G71" s="493">
        <v>0</v>
      </c>
      <c r="H71" s="493">
        <v>0</v>
      </c>
      <c r="I71" s="493">
        <v>0</v>
      </c>
      <c r="J71" s="493">
        <v>0</v>
      </c>
      <c r="K71" s="499">
        <v>0</v>
      </c>
    </row>
    <row r="72" spans="2:12">
      <c r="B72" t="s">
        <v>423</v>
      </c>
      <c r="C72" s="171" t="str">
        <f>'RFPR cover'!$C$14</f>
        <v>£m 12/13</v>
      </c>
      <c r="D72" s="494">
        <v>0</v>
      </c>
      <c r="E72" s="495">
        <v>0</v>
      </c>
      <c r="F72" s="495">
        <v>0</v>
      </c>
      <c r="G72" s="495">
        <v>0</v>
      </c>
      <c r="H72" s="495">
        <v>0</v>
      </c>
      <c r="I72" s="495">
        <v>0</v>
      </c>
      <c r="J72" s="495">
        <v>0</v>
      </c>
      <c r="K72" s="500">
        <v>0</v>
      </c>
    </row>
    <row r="73" spans="2:12">
      <c r="B73" t="s">
        <v>327</v>
      </c>
      <c r="C73" s="171" t="str">
        <f>'RFPR cover'!$C$14</f>
        <v>£m 12/13</v>
      </c>
      <c r="D73" s="834">
        <v>-0.25517027197514697</v>
      </c>
      <c r="E73" s="835">
        <v>-0.32247985268224344</v>
      </c>
      <c r="F73" s="835">
        <v>0.31385722736836885</v>
      </c>
      <c r="G73" s="835">
        <v>1.2951505142295539</v>
      </c>
      <c r="H73" s="835">
        <v>0.2932716484606761</v>
      </c>
      <c r="I73" s="835">
        <v>-0.25513981663391316</v>
      </c>
      <c r="J73" s="835">
        <v>-6.0683651022283467</v>
      </c>
      <c r="K73" s="504">
        <v>-2.3235148973817763</v>
      </c>
    </row>
    <row r="74" spans="2:12">
      <c r="B74" t="s">
        <v>119</v>
      </c>
      <c r="C74" s="171" t="str">
        <f>'RFPR cover'!$C$14</f>
        <v>£m 12/13</v>
      </c>
      <c r="D74" s="423" t="str">
        <f>IF(ABS(D70-SUM(D71:D73))&lt;'RFPR cover'!$F$14,"OK","ERROR")</f>
        <v>OK</v>
      </c>
      <c r="E74" s="424" t="str">
        <f>IF(ABS(E70-SUM(E71:E73))&lt;'RFPR cover'!$F$14,"OK","ERROR")</f>
        <v>OK</v>
      </c>
      <c r="F74" s="424" t="str">
        <f>IF(ABS(F70-SUM(F71:F73))&lt;'RFPR cover'!$F$14,"OK","ERROR")</f>
        <v>OK</v>
      </c>
      <c r="G74" s="424" t="str">
        <f>IF(ABS(G70-SUM(G71:G73))&lt;'RFPR cover'!$F$14,"OK","ERROR")</f>
        <v>OK</v>
      </c>
      <c r="H74" s="424" t="str">
        <f>IF(ABS(H70-SUM(H71:H73))&lt;'RFPR cover'!$F$14,"OK","ERROR")</f>
        <v>OK</v>
      </c>
      <c r="I74" s="424" t="str">
        <f>IF(ABS(I70-SUM(I71:I73))&lt;'RFPR cover'!$F$14,"OK","ERROR")</f>
        <v>OK</v>
      </c>
      <c r="J74" s="424" t="str">
        <f>IF(ABS(J70-SUM(J71:J73))&lt;'RFPR cover'!$F$14,"OK","ERROR")</f>
        <v>OK</v>
      </c>
      <c r="K74" s="425" t="str">
        <f>IF(ABS(K70-SUM(K71:K73))&lt;'RFPR cover'!$F$14,"OK","ERROR")</f>
        <v>OK</v>
      </c>
    </row>
    <row r="77" spans="2:12">
      <c r="B77" s="629" t="s">
        <v>425</v>
      </c>
      <c r="C77" s="629"/>
      <c r="D77" s="629"/>
      <c r="E77" s="629"/>
      <c r="F77" s="629"/>
      <c r="G77" s="629"/>
      <c r="H77" s="629"/>
      <c r="I77" s="629"/>
      <c r="J77" s="629"/>
      <c r="K77" s="629"/>
      <c r="L77" s="629"/>
    </row>
    <row r="79" spans="2:12">
      <c r="B79" s="13" t="s">
        <v>426</v>
      </c>
      <c r="C79" s="172" t="str">
        <f>'RFPR cover'!$C$14</f>
        <v>£m 12/13</v>
      </c>
      <c r="D79" s="501">
        <f t="shared" ref="D79:K79" si="12">D$68-D41</f>
        <v>-2.218239401667049</v>
      </c>
      <c r="E79" s="502">
        <f t="shared" si="12"/>
        <v>-3.8230967492606567</v>
      </c>
      <c r="F79" s="502">
        <f t="shared" si="12"/>
        <v>-3.3042225030083126</v>
      </c>
      <c r="G79" s="502">
        <f t="shared" si="12"/>
        <v>-1.7728631566956747</v>
      </c>
      <c r="H79" s="502">
        <f t="shared" si="12"/>
        <v>-1.5878938773360831</v>
      </c>
      <c r="I79" s="502">
        <f t="shared" si="12"/>
        <v>-1.8830275372489327</v>
      </c>
      <c r="J79" s="502">
        <f t="shared" si="12"/>
        <v>-3.243436230973967</v>
      </c>
      <c r="K79" s="503">
        <f t="shared" si="12"/>
        <v>0.90488235994355315</v>
      </c>
    </row>
    <row r="80" spans="2:12">
      <c r="B80" s="13"/>
      <c r="C80" s="13"/>
      <c r="D80" s="13"/>
      <c r="E80" s="13"/>
      <c r="F80" s="13"/>
      <c r="G80" s="13"/>
      <c r="H80" s="13"/>
      <c r="I80" s="13"/>
      <c r="J80" s="13"/>
      <c r="K80" s="13"/>
    </row>
    <row r="81" spans="2:11">
      <c r="B81" s="13" t="s">
        <v>437</v>
      </c>
      <c r="C81" s="172" t="str">
        <f>'RFPR cover'!$C$14</f>
        <v>£m 12/13</v>
      </c>
      <c r="D81" s="501">
        <f t="shared" ref="D81:K81" si="13">D$68-D53</f>
        <v>-2.0116333600347862</v>
      </c>
      <c r="E81" s="502">
        <f t="shared" si="13"/>
        <v>-3.5754888371099467</v>
      </c>
      <c r="F81" s="502">
        <f t="shared" si="13"/>
        <v>-3.3277556758773583</v>
      </c>
      <c r="G81" s="502">
        <f t="shared" si="13"/>
        <v>-1.7576234069186785</v>
      </c>
      <c r="H81" s="502">
        <f t="shared" si="13"/>
        <v>-1.5723969216708991</v>
      </c>
      <c r="I81" s="502">
        <f t="shared" si="13"/>
        <v>-1.8802938717048239</v>
      </c>
      <c r="J81" s="502">
        <f t="shared" si="13"/>
        <v>-3.5148537669728657</v>
      </c>
      <c r="K81" s="503">
        <f t="shared" si="13"/>
        <v>0.3733065808500633</v>
      </c>
    </row>
    <row r="83" spans="2:11">
      <c r="B83" s="13" t="s">
        <v>436</v>
      </c>
      <c r="C83" s="172" t="str">
        <f>'RFPR cover'!$C$14</f>
        <v>£m 12/13</v>
      </c>
      <c r="D83" s="501">
        <f>D79-D81</f>
        <v>-0.20660604163226282</v>
      </c>
      <c r="E83" s="502">
        <f t="shared" ref="E83:K83" si="14">E79-E81</f>
        <v>-0.24760791215070999</v>
      </c>
      <c r="F83" s="502">
        <f t="shared" si="14"/>
        <v>2.3533172869045771E-2</v>
      </c>
      <c r="G83" s="502">
        <f t="shared" si="14"/>
        <v>-1.523974977699627E-2</v>
      </c>
      <c r="H83" s="502">
        <f t="shared" si="14"/>
        <v>-1.5496955665184053E-2</v>
      </c>
      <c r="I83" s="502">
        <f t="shared" si="14"/>
        <v>-2.7336655441088098E-3</v>
      </c>
      <c r="J83" s="502">
        <f t="shared" si="14"/>
        <v>0.27141753599889862</v>
      </c>
      <c r="K83" s="503">
        <f t="shared" si="14"/>
        <v>0.53157577909348985</v>
      </c>
    </row>
    <row r="85" spans="2:11">
      <c r="B85" t="s">
        <v>519</v>
      </c>
      <c r="C85" s="121" t="s">
        <v>125</v>
      </c>
      <c r="D85" s="492">
        <v>0.8070713034249497</v>
      </c>
      <c r="E85" s="493">
        <v>-1.7481333665712837</v>
      </c>
      <c r="F85" s="493">
        <v>-5.7789357369797001</v>
      </c>
      <c r="G85" s="493">
        <v>-4.8183908959143142</v>
      </c>
      <c r="H85" s="493">
        <v>-3.4498653320903525</v>
      </c>
      <c r="I85" s="493">
        <v>-0.53227900745554457</v>
      </c>
      <c r="J85" s="493">
        <v>-13.535916551804625</v>
      </c>
      <c r="K85" s="499">
        <v>-19.941894139557618</v>
      </c>
    </row>
    <row r="86" spans="2:11">
      <c r="B86" t="s">
        <v>519</v>
      </c>
      <c r="C86" s="171" t="str">
        <f>'RFPR cover'!$C$14</f>
        <v>£m 12/13</v>
      </c>
      <c r="D86" s="924">
        <f>D85/D$39</f>
        <v>0.76116057388805425</v>
      </c>
      <c r="E86" s="925">
        <f t="shared" ref="E86:K86" si="15">E85/E$39</f>
        <v>-1.6141035633748522</v>
      </c>
      <c r="F86" s="925">
        <f t="shared" si="15"/>
        <v>-5.143397432761172</v>
      </c>
      <c r="G86" s="925">
        <f t="shared" si="15"/>
        <v>-4.1613360457799811</v>
      </c>
      <c r="H86" s="925">
        <f t="shared" si="15"/>
        <v>-2.9042457735950311</v>
      </c>
      <c r="I86" s="925">
        <f t="shared" si="15"/>
        <v>-0.44272645716436948</v>
      </c>
      <c r="J86" s="925">
        <f t="shared" si="15"/>
        <v>-10.643778512481203</v>
      </c>
      <c r="K86" s="926">
        <f t="shared" si="15"/>
        <v>-14.479251450964501</v>
      </c>
    </row>
    <row r="87" spans="2:11">
      <c r="B87" t="s">
        <v>520</v>
      </c>
      <c r="C87" s="121" t="s">
        <v>125</v>
      </c>
      <c r="D87" s="494">
        <v>1.0261391493380296</v>
      </c>
      <c r="E87" s="495">
        <v>-1.4799649151289991</v>
      </c>
      <c r="F87" s="495">
        <v>-5.805376760734001</v>
      </c>
      <c r="G87" s="495">
        <v>-4.8007448633003511</v>
      </c>
      <c r="H87" s="495">
        <v>-3.4314569692071788</v>
      </c>
      <c r="I87" s="495">
        <v>-0.52899238936668436</v>
      </c>
      <c r="J87" s="495">
        <v>-13.881083929505074</v>
      </c>
      <c r="K87" s="500">
        <v>-20.674019550165713</v>
      </c>
    </row>
    <row r="88" spans="2:11">
      <c r="B88" t="s">
        <v>520</v>
      </c>
      <c r="C88" s="171" t="str">
        <f>'RFPR cover'!$C$14</f>
        <v>£m 12/13</v>
      </c>
      <c r="D88" s="924">
        <f t="shared" ref="D88:K88" si="16">D87/D$39</f>
        <v>0.96776661552031706</v>
      </c>
      <c r="E88" s="925">
        <f t="shared" si="16"/>
        <v>-1.366495651224142</v>
      </c>
      <c r="F88" s="925">
        <f t="shared" si="16"/>
        <v>-5.1669306056302169</v>
      </c>
      <c r="G88" s="925">
        <f t="shared" si="16"/>
        <v>-4.1460962960029848</v>
      </c>
      <c r="H88" s="925">
        <f t="shared" si="16"/>
        <v>-2.8887488179298466</v>
      </c>
      <c r="I88" s="925">
        <f t="shared" si="16"/>
        <v>-0.43999279162026111</v>
      </c>
      <c r="J88" s="925">
        <f t="shared" si="16"/>
        <v>-10.915196048480103</v>
      </c>
      <c r="K88" s="926">
        <f t="shared" si="16"/>
        <v>-15.010827230057991</v>
      </c>
    </row>
    <row r="89" spans="2:11">
      <c r="B89" t="s">
        <v>522</v>
      </c>
      <c r="C89" s="171" t="str">
        <f>'RFPR cover'!$C$14</f>
        <v>£m 12/13</v>
      </c>
      <c r="D89" s="918">
        <f>D86-D88</f>
        <v>-0.20660604163226282</v>
      </c>
      <c r="E89" s="919">
        <f t="shared" ref="E89:K89" si="17">E86-E88</f>
        <v>-0.24760791215071021</v>
      </c>
      <c r="F89" s="919">
        <f t="shared" si="17"/>
        <v>2.3533172869044883E-2</v>
      </c>
      <c r="G89" s="919">
        <f t="shared" si="17"/>
        <v>-1.523974977699627E-2</v>
      </c>
      <c r="H89" s="919">
        <f t="shared" si="17"/>
        <v>-1.5496955665184498E-2</v>
      </c>
      <c r="I89" s="919">
        <f t="shared" si="17"/>
        <v>-2.7336655441083657E-3</v>
      </c>
      <c r="J89" s="919">
        <f t="shared" si="17"/>
        <v>0.27141753599889995</v>
      </c>
      <c r="K89" s="920">
        <f t="shared" si="17"/>
        <v>0.5315757790934903</v>
      </c>
    </row>
  </sheetData>
  <conditionalFormatting sqref="D6:K7">
    <cfRule type="expression" dxfId="52" priority="21">
      <formula>AND(D$6="Actuals",E$6="Forecast")</formula>
    </cfRule>
  </conditionalFormatting>
  <conditionalFormatting sqref="D5:K5">
    <cfRule type="expression" dxfId="51" priority="20">
      <formula>AND(D$5="Actuals",E$5="Forecast")</formula>
    </cfRule>
  </conditionalFormatting>
  <conditionalFormatting sqref="D36:F36">
    <cfRule type="expression" dxfId="50" priority="9">
      <formula>AND(D$5="Actuals",E$5="Actuals")</formula>
    </cfRule>
  </conditionalFormatting>
  <conditionalFormatting sqref="D12:K12 D24:K33 D15:K19">
    <cfRule type="expression" dxfId="49" priority="8">
      <formula>NOT(AND(D$5="Actuals"))</formula>
    </cfRule>
  </conditionalFormatting>
  <conditionalFormatting sqref="G36">
    <cfRule type="expression" dxfId="48" priority="10">
      <formula>AND(E$5="Actuals",F$5="Actuals")</formula>
    </cfRule>
  </conditionalFormatting>
  <conditionalFormatting sqref="D60:K61">
    <cfRule type="expression" dxfId="47" priority="7">
      <formula>NOT(AND(D$5="Actuals"))</formula>
    </cfRule>
  </conditionalFormatting>
  <conditionalFormatting sqref="D66:K67">
    <cfRule type="expression" dxfId="46" priority="6">
      <formula>NOT(AND(D$5="Actuals"))</formula>
    </cfRule>
  </conditionalFormatting>
  <conditionalFormatting sqref="D71:K73">
    <cfRule type="expression" dxfId="45" priority="5">
      <formula>NOT(AND(D$5="Actuals"))</formula>
    </cfRule>
  </conditionalFormatting>
  <conditionalFormatting sqref="D85:K85">
    <cfRule type="expression" dxfId="44" priority="4">
      <formula>NOT(AND(D$5="Actuals"))</formula>
    </cfRule>
  </conditionalFormatting>
  <conditionalFormatting sqref="D87:K87">
    <cfRule type="expression" dxfId="43" priority="3">
      <formula>NOT(AND(D$5="Actuals"))</formula>
    </cfRule>
  </conditionalFormatting>
  <conditionalFormatting sqref="I36:K36">
    <cfRule type="expression" dxfId="42" priority="2">
      <formula>NOT(AND(I$5="Actuals"))</formula>
    </cfRule>
  </conditionalFormatting>
  <conditionalFormatting sqref="H36">
    <cfRule type="expression" dxfId="41" priority="1">
      <formula>AND(F$5="Actuals",G$5="Actuals")</formula>
    </cfRule>
  </conditionalFormatting>
  <pageMargins left="0.70866141732283472" right="0.70866141732283472" top="0.74803149606299213" bottom="0.74803149606299213" header="0.31496062992125984" footer="0.31496062992125984"/>
  <pageSetup paperSize="8" scale="80" orientation="landscape" r:id="rId1"/>
  <headerFooter>
    <oddFooter>&amp;C&amp;1#&amp;"Calibri"&amp;12&amp;K008000Internal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ht="20.25">
      <c r="A1" s="698" t="s">
        <v>255</v>
      </c>
      <c r="B1" s="681"/>
      <c r="C1" s="209"/>
      <c r="D1" s="209"/>
      <c r="E1" s="209"/>
      <c r="F1" s="209"/>
      <c r="G1" s="209"/>
      <c r="H1" s="209"/>
      <c r="I1" s="699"/>
      <c r="J1" s="699"/>
      <c r="K1" s="700"/>
      <c r="L1" s="701"/>
    </row>
    <row r="2" spans="1:18" ht="20.25">
      <c r="A2" s="674" t="str">
        <f>'RFPR cover'!C5</f>
        <v>SPMW</v>
      </c>
      <c r="B2" s="702"/>
      <c r="C2" s="703"/>
      <c r="D2" s="703"/>
      <c r="E2" s="703"/>
      <c r="F2" s="703"/>
      <c r="G2" s="703"/>
      <c r="H2" s="703"/>
      <c r="I2" s="704"/>
      <c r="J2" s="704"/>
      <c r="K2" s="704"/>
      <c r="L2" s="705"/>
    </row>
    <row r="3" spans="1:18" ht="23.25">
      <c r="A3" s="677">
        <f>'RFPR cover'!C7</f>
        <v>2022</v>
      </c>
      <c r="B3" s="706" t="str">
        <f>'R1 - RoRE'!B3</f>
        <v/>
      </c>
      <c r="C3" s="212"/>
      <c r="D3" s="212"/>
      <c r="E3" s="212"/>
      <c r="F3" s="212"/>
      <c r="G3" s="212"/>
      <c r="H3" s="212"/>
      <c r="I3" s="707"/>
      <c r="J3" s="707"/>
      <c r="K3" s="707"/>
      <c r="L3" s="708"/>
    </row>
    <row r="4" spans="1:18" s="2" customFormat="1" ht="12.75" customHeight="1"/>
    <row r="5" spans="1:18" s="2" customFormat="1">
      <c r="B5" s="3"/>
      <c r="C5" s="3"/>
      <c r="D5" s="709" t="str">
        <f>IF(D6&lt;='RFPR cover'!$C$7,"Actuals","N/A")</f>
        <v>Actuals</v>
      </c>
      <c r="E5" s="710" t="str">
        <f>IF(E6&lt;='RFPR cover'!$C$7,"Actuals","N/A")</f>
        <v>Actuals</v>
      </c>
      <c r="F5" s="710" t="str">
        <f>IF(F6&lt;='RFPR cover'!$C$7,"Actuals","N/A")</f>
        <v>Actuals</v>
      </c>
      <c r="G5" s="710" t="str">
        <f>IF(G6&lt;='RFPR cover'!$C$7,"Actuals","N/A")</f>
        <v>Actuals</v>
      </c>
      <c r="H5" s="710" t="str">
        <f>IF(H6&lt;='RFPR cover'!$C$7,"Actuals","N/A")</f>
        <v>Actuals</v>
      </c>
      <c r="I5" s="710" t="str">
        <f>IF(I6&lt;='RFPR cover'!$C$7,"Actuals","N/A")</f>
        <v>Actuals</v>
      </c>
      <c r="J5" s="710" t="str">
        <f>IF(J6&lt;='RFPR cover'!$C$7,"Actuals","N/A")</f>
        <v>Actuals</v>
      </c>
      <c r="K5" s="711" t="str">
        <f>IF(K6&lt;='RFPR cover'!$C$7,"Actuals","N/A")</f>
        <v>N/A</v>
      </c>
    </row>
    <row r="6" spans="1:18" s="2" customFormat="1">
      <c r="D6" s="99">
        <f>'RFPR cover'!$C$13</f>
        <v>2016</v>
      </c>
      <c r="E6" s="100">
        <f>D6+1</f>
        <v>2017</v>
      </c>
      <c r="F6" s="100">
        <f t="shared" ref="F6:K6" si="0">E6+1</f>
        <v>2018</v>
      </c>
      <c r="G6" s="100">
        <f t="shared" si="0"/>
        <v>2019</v>
      </c>
      <c r="H6" s="100">
        <f t="shared" si="0"/>
        <v>2020</v>
      </c>
      <c r="I6" s="100">
        <f t="shared" si="0"/>
        <v>2021</v>
      </c>
      <c r="J6" s="100">
        <f t="shared" si="0"/>
        <v>2022</v>
      </c>
      <c r="K6" s="157">
        <f t="shared" si="0"/>
        <v>2023</v>
      </c>
    </row>
    <row r="7" spans="1:18" s="2" customFormat="1"/>
    <row r="8" spans="1:18">
      <c r="B8" s="13" t="s">
        <v>226</v>
      </c>
      <c r="C8" s="121" t="s">
        <v>125</v>
      </c>
      <c r="D8" s="508">
        <v>45</v>
      </c>
      <c r="E8" s="509">
        <v>26</v>
      </c>
      <c r="F8" s="509">
        <v>72</v>
      </c>
      <c r="G8" s="509">
        <v>96.7</v>
      </c>
      <c r="H8" s="509">
        <v>46.3</v>
      </c>
      <c r="I8" s="509">
        <v>73</v>
      </c>
      <c r="J8" s="914">
        <v>85.5</v>
      </c>
      <c r="K8" s="510">
        <v>0</v>
      </c>
    </row>
    <row r="9" spans="1:18">
      <c r="B9" s="14" t="s">
        <v>102</v>
      </c>
      <c r="C9" s="13"/>
      <c r="D9" s="583"/>
      <c r="E9" s="583"/>
      <c r="F9" s="583"/>
      <c r="G9" s="583"/>
      <c r="H9" s="583"/>
      <c r="I9" s="583"/>
      <c r="J9" s="583"/>
      <c r="K9" s="583"/>
    </row>
    <row r="10" spans="1:18">
      <c r="B10" s="801" t="s">
        <v>583</v>
      </c>
      <c r="C10" s="121" t="s">
        <v>125</v>
      </c>
      <c r="D10" s="492">
        <v>0</v>
      </c>
      <c r="E10" s="493">
        <v>0</v>
      </c>
      <c r="F10" s="493">
        <v>0</v>
      </c>
      <c r="G10" s="493">
        <v>0</v>
      </c>
      <c r="H10" s="493">
        <v>0</v>
      </c>
      <c r="I10" s="493">
        <v>0</v>
      </c>
      <c r="J10" s="493">
        <v>0</v>
      </c>
      <c r="K10" s="499">
        <v>0</v>
      </c>
    </row>
    <row r="11" spans="1:18">
      <c r="B11" s="801" t="s">
        <v>583</v>
      </c>
      <c r="C11" s="121" t="s">
        <v>125</v>
      </c>
      <c r="D11" s="494">
        <v>0</v>
      </c>
      <c r="E11" s="495">
        <v>0</v>
      </c>
      <c r="F11" s="495">
        <v>0</v>
      </c>
      <c r="G11" s="495">
        <v>0</v>
      </c>
      <c r="H11" s="495">
        <v>0</v>
      </c>
      <c r="I11" s="495">
        <v>0</v>
      </c>
      <c r="J11" s="495">
        <v>0</v>
      </c>
      <c r="K11" s="500">
        <v>0</v>
      </c>
    </row>
    <row r="12" spans="1:18">
      <c r="B12" s="801" t="s">
        <v>587</v>
      </c>
      <c r="C12" s="121" t="s">
        <v>125</v>
      </c>
      <c r="D12" s="834">
        <v>0</v>
      </c>
      <c r="E12" s="835">
        <v>0</v>
      </c>
      <c r="F12" s="835">
        <v>0</v>
      </c>
      <c r="G12" s="835">
        <v>0</v>
      </c>
      <c r="H12" s="835">
        <v>0</v>
      </c>
      <c r="I12" s="835">
        <v>0</v>
      </c>
      <c r="J12" s="835">
        <v>0</v>
      </c>
      <c r="K12" s="504">
        <v>0</v>
      </c>
      <c r="Q12" s="177"/>
    </row>
    <row r="13" spans="1:18">
      <c r="B13" s="13" t="s">
        <v>103</v>
      </c>
      <c r="C13" s="121" t="s">
        <v>125</v>
      </c>
      <c r="D13" s="577">
        <f>D8-SUM(D10:D12)</f>
        <v>45</v>
      </c>
      <c r="E13" s="578">
        <f t="shared" ref="E13:K13" si="1">E8-SUM(E10:E12)</f>
        <v>26</v>
      </c>
      <c r="F13" s="578">
        <f t="shared" si="1"/>
        <v>72</v>
      </c>
      <c r="G13" s="578">
        <f t="shared" si="1"/>
        <v>96.7</v>
      </c>
      <c r="H13" s="578">
        <f t="shared" si="1"/>
        <v>46.3</v>
      </c>
      <c r="I13" s="578">
        <f t="shared" si="1"/>
        <v>73</v>
      </c>
      <c r="J13" s="578">
        <f t="shared" si="1"/>
        <v>85.5</v>
      </c>
      <c r="K13" s="579">
        <f t="shared" si="1"/>
        <v>0</v>
      </c>
      <c r="R13" s="176"/>
    </row>
    <row r="14" spans="1:18">
      <c r="C14" s="13"/>
      <c r="Q14" s="177"/>
    </row>
    <row r="15" spans="1:18">
      <c r="B15" s="13" t="s">
        <v>496</v>
      </c>
      <c r="C15" s="121" t="s">
        <v>125</v>
      </c>
      <c r="D15" s="508">
        <v>0</v>
      </c>
      <c r="E15" s="509">
        <v>0</v>
      </c>
      <c r="F15" s="509">
        <v>0</v>
      </c>
      <c r="G15" s="509">
        <v>0</v>
      </c>
      <c r="H15" s="509">
        <v>0</v>
      </c>
      <c r="I15" s="509">
        <v>0</v>
      </c>
      <c r="J15" s="509">
        <v>0</v>
      </c>
      <c r="K15" s="927">
        <v>0</v>
      </c>
    </row>
  </sheetData>
  <conditionalFormatting sqref="D6:K6">
    <cfRule type="expression" dxfId="40" priority="6">
      <formula>AND(D$5="Actuals",E$5="N/A")</formula>
    </cfRule>
  </conditionalFormatting>
  <conditionalFormatting sqref="D5:K5">
    <cfRule type="expression" dxfId="39" priority="5">
      <formula>AND(D$5="Actuals",E$5="N/A")</formula>
    </cfRule>
  </conditionalFormatting>
  <conditionalFormatting sqref="D5:K6">
    <cfRule type="expression" dxfId="38" priority="4">
      <formula>D$5="N/A"</formula>
    </cfRule>
  </conditionalFormatting>
  <conditionalFormatting sqref="D8:K8 D10:K13">
    <cfRule type="expression" dxfId="37" priority="2">
      <formula>D$5="N/A"</formula>
    </cfRule>
  </conditionalFormatting>
  <conditionalFormatting sqref="D15:K15">
    <cfRule type="expression" dxfId="36" priority="1">
      <formula>D$5="N/A"</formula>
    </cfRule>
  </conditionalFormatting>
  <pageMargins left="0.70866141732283472" right="0.70866141732283472" top="0.74803149606299213" bottom="0.74803149606299213" header="0.31496062992125984" footer="0.31496062992125984"/>
  <pageSetup paperSize="8" scale="85" orientation="landscape"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ht="20.25">
      <c r="A1" s="698" t="s">
        <v>254</v>
      </c>
      <c r="B1" s="681"/>
      <c r="C1" s="209"/>
      <c r="D1" s="209"/>
      <c r="E1" s="209"/>
      <c r="F1" s="209"/>
      <c r="G1" s="209"/>
      <c r="H1" s="209"/>
      <c r="I1" s="699"/>
      <c r="J1" s="699"/>
      <c r="K1" s="700"/>
      <c r="L1" s="701"/>
    </row>
    <row r="2" spans="1:12" ht="20.25">
      <c r="A2" s="674" t="str">
        <f>'RFPR cover'!C5</f>
        <v>SPMW</v>
      </c>
      <c r="B2" s="702"/>
      <c r="C2" s="703"/>
      <c r="D2" s="703"/>
      <c r="E2" s="703"/>
      <c r="F2" s="703"/>
      <c r="G2" s="703"/>
      <c r="H2" s="703"/>
      <c r="I2" s="704"/>
      <c r="J2" s="704"/>
      <c r="K2" s="704"/>
      <c r="L2" s="705"/>
    </row>
    <row r="3" spans="1:12" ht="20.25">
      <c r="A3" s="677">
        <f>'RFPR cover'!C7</f>
        <v>2022</v>
      </c>
      <c r="B3" s="684"/>
      <c r="C3" s="212"/>
      <c r="D3" s="212"/>
      <c r="E3" s="212"/>
      <c r="F3" s="212"/>
      <c r="G3" s="212"/>
      <c r="H3" s="212"/>
      <c r="I3" s="707"/>
      <c r="J3" s="707"/>
      <c r="K3" s="707"/>
      <c r="L3" s="708"/>
    </row>
    <row r="4" spans="1:12" s="2" customFormat="1" ht="12.75" customHeight="1">
      <c r="B4" s="3"/>
      <c r="C4"/>
      <c r="D4" s="263"/>
      <c r="E4" s="263"/>
    </row>
    <row r="5" spans="1:12" s="2" customFormat="1" ht="12.75" customHeight="1">
      <c r="B5" s="3"/>
      <c r="C5"/>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row>
    <row r="6" spans="1:12" s="2" customFormat="1">
      <c r="C6"/>
      <c r="D6" s="99">
        <f>'RFPR cover'!$C$13</f>
        <v>2016</v>
      </c>
      <c r="E6" s="100">
        <f>D6+1</f>
        <v>2017</v>
      </c>
      <c r="F6" s="100">
        <f t="shared" ref="F6:K6" si="0">E6+1</f>
        <v>2018</v>
      </c>
      <c r="G6" s="100">
        <f t="shared" si="0"/>
        <v>2019</v>
      </c>
      <c r="H6" s="100">
        <f t="shared" si="0"/>
        <v>2020</v>
      </c>
      <c r="I6" s="100">
        <f t="shared" si="0"/>
        <v>2021</v>
      </c>
      <c r="J6" s="100">
        <f t="shared" si="0"/>
        <v>2022</v>
      </c>
      <c r="K6" s="157">
        <f t="shared" si="0"/>
        <v>2023</v>
      </c>
    </row>
    <row r="7" spans="1:12" s="2" customFormat="1">
      <c r="C7"/>
      <c r="D7"/>
      <c r="E7"/>
      <c r="F7"/>
      <c r="G7"/>
      <c r="H7"/>
      <c r="I7"/>
      <c r="J7"/>
      <c r="K7"/>
      <c r="L7"/>
    </row>
    <row r="8" spans="1:12">
      <c r="B8" s="13" t="s">
        <v>385</v>
      </c>
      <c r="C8" s="121" t="s">
        <v>125</v>
      </c>
      <c r="D8" s="812">
        <v>25.062000000000001</v>
      </c>
      <c r="E8" s="928">
        <v>25.265000000000004</v>
      </c>
      <c r="F8" s="928">
        <v>32.020000000000003</v>
      </c>
      <c r="G8" s="928">
        <v>33.260000000000005</v>
      </c>
      <c r="H8" s="928">
        <v>34.356499999999997</v>
      </c>
      <c r="I8" s="928">
        <v>36.317999999999998</v>
      </c>
      <c r="J8" s="928">
        <v>36.728999999999999</v>
      </c>
      <c r="K8" s="813"/>
    </row>
    <row r="9" spans="1:12">
      <c r="B9" s="15" t="s">
        <v>22</v>
      </c>
      <c r="D9" s="583"/>
      <c r="E9" s="583"/>
      <c r="F9" s="583"/>
      <c r="G9" s="583"/>
      <c r="H9" s="583"/>
      <c r="I9" s="583"/>
      <c r="J9" s="583"/>
      <c r="K9" s="583"/>
    </row>
    <row r="10" spans="1:12">
      <c r="B10" t="s">
        <v>21</v>
      </c>
      <c r="C10" s="121" t="s">
        <v>125</v>
      </c>
      <c r="D10" s="929">
        <v>23.68</v>
      </c>
      <c r="E10" s="930">
        <v>23.87</v>
      </c>
      <c r="F10" s="930">
        <v>28.67</v>
      </c>
      <c r="G10" s="930">
        <v>29.783000000000001</v>
      </c>
      <c r="H10" s="930">
        <v>30.765999999999998</v>
      </c>
      <c r="I10" s="930">
        <v>31.635999999999999</v>
      </c>
      <c r="J10" s="930">
        <v>31.994</v>
      </c>
      <c r="K10" s="814"/>
    </row>
    <row r="11" spans="1:12">
      <c r="B11" t="s">
        <v>23</v>
      </c>
      <c r="C11" s="121" t="s">
        <v>125</v>
      </c>
      <c r="D11" s="931">
        <v>1.3820000000000001</v>
      </c>
      <c r="E11" s="932">
        <v>1.395</v>
      </c>
      <c r="F11" s="932">
        <v>3.3499999999999996</v>
      </c>
      <c r="G11" s="932">
        <v>3.4769999999999999</v>
      </c>
      <c r="H11" s="932">
        <v>3.5905</v>
      </c>
      <c r="I11" s="932">
        <v>4.6820000000000004</v>
      </c>
      <c r="J11" s="932">
        <v>4.7349999999999994</v>
      </c>
      <c r="K11" s="815"/>
    </row>
    <row r="12" spans="1:12">
      <c r="D12" s="583"/>
      <c r="E12" s="583"/>
      <c r="F12" s="583"/>
      <c r="G12" s="583"/>
      <c r="H12" s="583"/>
      <c r="I12" s="583"/>
      <c r="J12" s="583"/>
      <c r="K12" s="583"/>
    </row>
    <row r="13" spans="1:12">
      <c r="D13" s="583"/>
      <c r="E13" s="583"/>
      <c r="F13" s="583"/>
      <c r="G13" s="583"/>
      <c r="H13" s="583"/>
      <c r="I13" s="583"/>
      <c r="J13" s="583"/>
      <c r="K13" s="583"/>
    </row>
    <row r="14" spans="1:12">
      <c r="B14" t="s">
        <v>21</v>
      </c>
      <c r="C14" s="171" t="str">
        <f>'RFPR cover'!$C$14</f>
        <v>£m 12/13</v>
      </c>
      <c r="D14" s="85">
        <f>D10/Data!C$34</f>
        <v>22.332949162211438</v>
      </c>
      <c r="E14" s="86">
        <f>E10/Data!D$34</f>
        <v>22.039881392645814</v>
      </c>
      <c r="F14" s="86">
        <f>F10/Data!E$34</f>
        <v>25.517017511312879</v>
      </c>
      <c r="G14" s="86">
        <f>G10/Data!F$34</f>
        <v>25.721672261284542</v>
      </c>
      <c r="H14" s="86">
        <f>H10/Data!G$34</f>
        <v>25.900148808499804</v>
      </c>
      <c r="I14" s="86">
        <f>I10/Data!H$34</f>
        <v>26.313444645892346</v>
      </c>
      <c r="J14" s="86">
        <f>J10/Data!I$34</f>
        <v>25.158034066257805</v>
      </c>
      <c r="K14" s="933">
        <f>K10/Data!J$34</f>
        <v>0</v>
      </c>
    </row>
    <row r="15" spans="1:12">
      <c r="D15" s="583"/>
      <c r="E15" s="583"/>
      <c r="F15" s="583"/>
      <c r="G15" s="583"/>
      <c r="H15" s="583"/>
      <c r="I15" s="583"/>
      <c r="J15" s="583"/>
      <c r="K15" s="583"/>
    </row>
    <row r="16" spans="1:12">
      <c r="D16" s="583"/>
      <c r="E16" s="583"/>
      <c r="F16" s="583"/>
      <c r="G16" s="583"/>
      <c r="H16" s="583"/>
      <c r="I16" s="583"/>
      <c r="J16" s="583"/>
      <c r="K16" s="583"/>
    </row>
    <row r="17" spans="2:11" s="2" customFormat="1">
      <c r="B17" s="13" t="s">
        <v>307</v>
      </c>
      <c r="C17" s="171" t="str">
        <f>'RFPR cover'!$C$14</f>
        <v>£m 12/13</v>
      </c>
      <c r="D17" s="929">
        <v>27.7</v>
      </c>
      <c r="E17" s="930">
        <v>27.7</v>
      </c>
      <c r="F17" s="930">
        <v>27.7</v>
      </c>
      <c r="G17" s="930">
        <v>26.6</v>
      </c>
      <c r="H17" s="930">
        <v>26.6</v>
      </c>
      <c r="I17" s="930">
        <v>26.6</v>
      </c>
      <c r="J17" s="930">
        <v>25.8</v>
      </c>
      <c r="K17" s="814">
        <v>0</v>
      </c>
    </row>
    <row r="18" spans="2:11" s="2" customFormat="1">
      <c r="B18" t="s">
        <v>308</v>
      </c>
      <c r="C18" s="171" t="str">
        <f>'RFPR cover'!$C$14</f>
        <v>£m 12/13</v>
      </c>
      <c r="D18" s="931">
        <v>3.8</v>
      </c>
      <c r="E18" s="932">
        <v>3.8</v>
      </c>
      <c r="F18" s="932">
        <v>3.8</v>
      </c>
      <c r="G18" s="932">
        <v>2.7</v>
      </c>
      <c r="H18" s="932">
        <v>2.7</v>
      </c>
      <c r="I18" s="932">
        <v>2.7</v>
      </c>
      <c r="J18" s="932">
        <v>1.9</v>
      </c>
      <c r="K18" s="815">
        <v>0</v>
      </c>
    </row>
    <row r="19" spans="2:11" s="2" customFormat="1">
      <c r="B19" s="13" t="s">
        <v>309</v>
      </c>
      <c r="C19" s="171" t="str">
        <f>'RFPR cover'!$C$14</f>
        <v>£m 12/13</v>
      </c>
      <c r="D19" s="85">
        <f>D17-D18</f>
        <v>23.9</v>
      </c>
      <c r="E19" s="86">
        <f t="shared" ref="E19:K19" si="1">E17-E18</f>
        <v>23.9</v>
      </c>
      <c r="F19" s="86">
        <f t="shared" si="1"/>
        <v>23.9</v>
      </c>
      <c r="G19" s="86">
        <f t="shared" si="1"/>
        <v>23.900000000000002</v>
      </c>
      <c r="H19" s="86">
        <f t="shared" si="1"/>
        <v>23.900000000000002</v>
      </c>
      <c r="I19" s="86">
        <f t="shared" si="1"/>
        <v>23.900000000000002</v>
      </c>
      <c r="J19" s="86">
        <f t="shared" si="1"/>
        <v>23.900000000000002</v>
      </c>
      <c r="K19" s="87">
        <f t="shared" si="1"/>
        <v>0</v>
      </c>
    </row>
    <row r="20" spans="2:11" s="2" customFormat="1">
      <c r="B20" s="13"/>
      <c r="C20" s="13"/>
      <c r="D20" s="13"/>
      <c r="E20" s="13"/>
      <c r="F20" s="13"/>
      <c r="G20" s="13"/>
      <c r="H20" s="13"/>
      <c r="I20" s="13"/>
      <c r="J20" s="13"/>
      <c r="K20" s="13"/>
    </row>
    <row r="21" spans="2:11" s="2" customFormat="1" ht="12.75" customHeight="1">
      <c r="B21" s="13"/>
      <c r="C21" s="13"/>
      <c r="D21" s="982" t="s">
        <v>115</v>
      </c>
      <c r="E21" s="13"/>
      <c r="F21" s="13"/>
      <c r="G21" s="13"/>
      <c r="H21" s="13"/>
      <c r="I21" s="13"/>
      <c r="J21" s="13"/>
      <c r="K21" s="13"/>
    </row>
    <row r="22" spans="2:11" s="2" customFormat="1" ht="12.75" customHeight="1">
      <c r="B22" s="13"/>
      <c r="C22" s="13"/>
      <c r="D22" s="983"/>
      <c r="E22" s="13"/>
      <c r="F22" s="13"/>
      <c r="G22" s="13"/>
      <c r="H22" s="13"/>
      <c r="I22" s="13"/>
      <c r="J22" s="13"/>
      <c r="K22" s="13"/>
    </row>
    <row r="23" spans="2:11">
      <c r="C23" s="13"/>
      <c r="D23" s="984"/>
      <c r="E23" s="13"/>
    </row>
    <row r="24" spans="2:11">
      <c r="B24" s="13" t="s">
        <v>114</v>
      </c>
      <c r="C24" s="13"/>
      <c r="D24" s="934">
        <v>43555</v>
      </c>
    </row>
    <row r="25" spans="2:11">
      <c r="B25" s="13"/>
      <c r="C25" s="13"/>
      <c r="D25" s="33"/>
      <c r="E25" s="34"/>
      <c r="F25" s="34"/>
    </row>
    <row r="26" spans="2:11">
      <c r="B26" t="s">
        <v>306</v>
      </c>
      <c r="C26" s="13"/>
      <c r="D26" s="935" t="s">
        <v>589</v>
      </c>
      <c r="E26" s="34"/>
      <c r="F26" s="34"/>
    </row>
    <row r="27" spans="2:11">
      <c r="C27" s="13"/>
      <c r="D27" s="33"/>
      <c r="E27" s="34"/>
      <c r="F27" s="34"/>
    </row>
    <row r="28" spans="2:11">
      <c r="B28" s="13"/>
      <c r="D28" s="295" t="s">
        <v>276</v>
      </c>
      <c r="E28" s="34"/>
      <c r="F28" s="34"/>
    </row>
    <row r="29" spans="2:11">
      <c r="B29" t="s">
        <v>24</v>
      </c>
      <c r="D29" s="935">
        <v>823.4</v>
      </c>
    </row>
    <row r="30" spans="2:11">
      <c r="B30" t="s">
        <v>25</v>
      </c>
      <c r="D30" s="935">
        <v>4674.5</v>
      </c>
    </row>
    <row r="31" spans="2:11">
      <c r="D31" s="583"/>
    </row>
    <row r="32" spans="2:11">
      <c r="B32" t="s">
        <v>26</v>
      </c>
      <c r="D32" s="935">
        <v>649.19999999999993</v>
      </c>
    </row>
    <row r="33" spans="2:4">
      <c r="B33" t="s">
        <v>27</v>
      </c>
      <c r="D33" s="935">
        <v>4045.9</v>
      </c>
    </row>
    <row r="34" spans="2:4">
      <c r="D34" s="583"/>
    </row>
    <row r="35" spans="2:4">
      <c r="B35" s="36" t="s">
        <v>29</v>
      </c>
      <c r="D35" s="936">
        <f>D29-D32</f>
        <v>174.20000000000005</v>
      </c>
    </row>
    <row r="36" spans="2:4">
      <c r="B36" s="36" t="s">
        <v>28</v>
      </c>
      <c r="D36" s="936">
        <f>D30-D33</f>
        <v>628.59999999999991</v>
      </c>
    </row>
    <row r="37" spans="2:4">
      <c r="D37" s="583"/>
    </row>
    <row r="38" spans="2:4">
      <c r="B38" t="s">
        <v>30</v>
      </c>
      <c r="D38" s="935">
        <v>253.1</v>
      </c>
    </row>
    <row r="39" spans="2:4">
      <c r="B39" t="s">
        <v>31</v>
      </c>
      <c r="D39" s="935">
        <v>38.700000000000003</v>
      </c>
    </row>
  </sheetData>
  <mergeCells count="1">
    <mergeCell ref="D21:D23"/>
  </mergeCells>
  <conditionalFormatting sqref="D6:J6">
    <cfRule type="expression" dxfId="35" priority="64">
      <formula>AND(D$4="Actuals",E$4="Forecast")</formula>
    </cfRule>
  </conditionalFormatting>
  <conditionalFormatting sqref="D5:K6">
    <cfRule type="expression" dxfId="34" priority="57">
      <formula>AND(D$5="Actuals",E$5="Forecast")</formula>
    </cfRule>
  </conditionalFormatting>
  <conditionalFormatting sqref="K6">
    <cfRule type="expression" dxfId="33" priority="65">
      <formula>AND(K$4="Actuals",#REF!="Forecast")</formula>
    </cfRule>
  </conditionalFormatting>
  <conditionalFormatting sqref="K5">
    <cfRule type="expression" dxfId="32" priority="66">
      <formula>AND(K$5="Actuals",#REF!="Forecast")</formula>
    </cfRule>
  </conditionalFormatting>
  <conditionalFormatting sqref="K11">
    <cfRule type="expression" dxfId="31" priority="24">
      <formula>K$5="Forecast"</formula>
    </cfRule>
    <cfRule type="expression" dxfId="30" priority="25">
      <formula>K$5="Actuals"</formula>
    </cfRule>
  </conditionalFormatting>
  <conditionalFormatting sqref="D8:K8">
    <cfRule type="expression" dxfId="29" priority="28">
      <formula>D$5="Forecast"</formula>
    </cfRule>
    <cfRule type="expression" dxfId="28" priority="29">
      <formula>D$5="Actuals"</formula>
    </cfRule>
  </conditionalFormatting>
  <conditionalFormatting sqref="K10">
    <cfRule type="expression" dxfId="27" priority="26">
      <formula>K$5="Forecast"</formula>
    </cfRule>
    <cfRule type="expression" dxfId="26" priority="27">
      <formula>K$5="Actuals"</formula>
    </cfRule>
  </conditionalFormatting>
  <conditionalFormatting sqref="D21">
    <cfRule type="expression" dxfId="25" priority="23">
      <formula>AND(E$4="Actuals",F$4="Forecast")</formula>
    </cfRule>
  </conditionalFormatting>
  <conditionalFormatting sqref="D10:J10">
    <cfRule type="expression" dxfId="24" priority="21">
      <formula>D$5="Forecast"</formula>
    </cfRule>
    <cfRule type="expression" dxfId="23" priority="22">
      <formula>D$5="Actuals"</formula>
    </cfRule>
  </conditionalFormatting>
  <conditionalFormatting sqref="D11:J11">
    <cfRule type="expression" dxfId="22" priority="19">
      <formula>D$5="Forecast"</formula>
    </cfRule>
    <cfRule type="expression" dxfId="21" priority="20">
      <formula>D$5="Actuals"</formula>
    </cfRule>
  </conditionalFormatting>
  <conditionalFormatting sqref="D17:K17">
    <cfRule type="expression" dxfId="20" priority="17">
      <formula>D$5="Forecast"</formula>
    </cfRule>
    <cfRule type="expression" dxfId="19" priority="18">
      <formula>D$5="Actuals"</formula>
    </cfRule>
  </conditionalFormatting>
  <conditionalFormatting sqref="D18:K18">
    <cfRule type="expression" dxfId="18" priority="15">
      <formula>D$5="Forecast"</formula>
    </cfRule>
    <cfRule type="expression" dxfId="17" priority="16">
      <formula>D$5="Actuals"</formula>
    </cfRule>
  </conditionalFormatting>
  <conditionalFormatting sqref="D29">
    <cfRule type="expression" dxfId="16" priority="13">
      <formula>D$5="Forecast"</formula>
    </cfRule>
    <cfRule type="expression" dxfId="15" priority="14">
      <formula>D$5="Actuals"</formula>
    </cfRule>
  </conditionalFormatting>
  <conditionalFormatting sqref="D30">
    <cfRule type="expression" dxfId="14" priority="11">
      <formula>D$5="Forecast"</formula>
    </cfRule>
    <cfRule type="expression" dxfId="13" priority="12">
      <formula>D$5="Actuals"</formula>
    </cfRule>
  </conditionalFormatting>
  <conditionalFormatting sqref="D32">
    <cfRule type="expression" dxfId="12" priority="9">
      <formula>D$5="Forecast"</formula>
    </cfRule>
    <cfRule type="expression" dxfId="11" priority="10">
      <formula>D$5="Actuals"</formula>
    </cfRule>
  </conditionalFormatting>
  <conditionalFormatting sqref="D33">
    <cfRule type="expression" dxfId="10" priority="7">
      <formula>D$5="Forecast"</formula>
    </cfRule>
    <cfRule type="expression" dxfId="9" priority="8">
      <formula>D$5="Actuals"</formula>
    </cfRule>
  </conditionalFormatting>
  <conditionalFormatting sqref="D26">
    <cfRule type="expression" dxfId="8" priority="5">
      <formula>D$5="Forecast"</formula>
    </cfRule>
    <cfRule type="expression" dxfId="7" priority="6">
      <formula>D$5="Actuals"</formula>
    </cfRule>
  </conditionalFormatting>
  <conditionalFormatting sqref="D38">
    <cfRule type="expression" dxfId="6" priority="3">
      <formula>D$5="Forecast"</formula>
    </cfRule>
    <cfRule type="expression" dxfId="5" priority="4">
      <formula>D$5="Actuals"</formula>
    </cfRule>
  </conditionalFormatting>
  <conditionalFormatting sqref="D39">
    <cfRule type="expression" dxfId="4" priority="1">
      <formula>D$5="Forecast"</formula>
    </cfRule>
    <cfRule type="expression" dxfId="3" priority="2">
      <formula>D$5="Actuals"</formula>
    </cfRule>
  </conditionalFormatting>
  <pageMargins left="0.70866141732283472" right="0.70866141732283472" top="0.74803149606299213" bottom="0.74803149606299213" header="0.31496062992125984" footer="0.31496062992125984"/>
  <pageSetup paperSize="8" scale="88" orientation="landscape" r:id="rId1"/>
  <headerFooter>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ht="20.25">
      <c r="A1" s="698" t="s">
        <v>253</v>
      </c>
      <c r="B1" s="681"/>
      <c r="C1" s="209"/>
      <c r="D1" s="209"/>
      <c r="E1" s="209"/>
      <c r="F1" s="209"/>
      <c r="G1" s="209"/>
      <c r="H1" s="209"/>
      <c r="I1" s="699"/>
      <c r="J1" s="699"/>
      <c r="K1" s="700"/>
      <c r="L1" s="701"/>
      <c r="M1" s="716"/>
      <c r="N1" s="716"/>
      <c r="O1" s="816" t="s">
        <v>81</v>
      </c>
      <c r="P1" s="716"/>
      <c r="Q1" s="716"/>
      <c r="R1" s="716"/>
      <c r="S1" s="716"/>
    </row>
    <row r="2" spans="1:19" ht="20.25">
      <c r="A2" s="674" t="str">
        <f>'RFPR cover'!C5</f>
        <v>SPMW</v>
      </c>
      <c r="B2" s="702"/>
      <c r="C2" s="703"/>
      <c r="D2" s="703"/>
      <c r="E2" s="703"/>
      <c r="F2" s="703"/>
      <c r="G2" s="703"/>
      <c r="H2" s="703"/>
      <c r="I2" s="704"/>
      <c r="J2" s="704"/>
      <c r="K2" s="704"/>
      <c r="L2" s="705"/>
      <c r="M2" s="716"/>
      <c r="N2" s="716"/>
      <c r="O2" s="816" t="s">
        <v>81</v>
      </c>
      <c r="P2" s="716"/>
      <c r="Q2" s="716"/>
      <c r="R2" s="716"/>
      <c r="S2" s="716"/>
    </row>
    <row r="3" spans="1:19" ht="20.25">
      <c r="A3" s="677">
        <f>'RFPR cover'!C7</f>
        <v>2022</v>
      </c>
      <c r="B3" s="684"/>
      <c r="C3" s="212"/>
      <c r="D3" s="212"/>
      <c r="E3" s="212"/>
      <c r="F3" s="212"/>
      <c r="G3" s="212"/>
      <c r="H3" s="212"/>
      <c r="I3" s="707"/>
      <c r="J3" s="707"/>
      <c r="K3" s="707"/>
      <c r="L3" s="708"/>
      <c r="M3" s="716"/>
      <c r="N3" s="716"/>
      <c r="O3" s="816" t="s">
        <v>81</v>
      </c>
      <c r="P3" s="716"/>
      <c r="Q3" s="716"/>
      <c r="R3" s="716"/>
      <c r="S3" s="716"/>
    </row>
    <row r="4" spans="1:19" s="2" customFormat="1" ht="12.75" customHeight="1">
      <c r="M4" s="716"/>
      <c r="N4" s="716"/>
      <c r="O4" s="816" t="s">
        <v>81</v>
      </c>
      <c r="P4" s="716"/>
      <c r="Q4" s="716"/>
      <c r="R4" s="716"/>
      <c r="S4" s="716"/>
    </row>
    <row r="5" spans="1:19" s="2" customFormat="1" ht="12.75" customHeight="1">
      <c r="B5" s="3"/>
      <c r="C5" s="3"/>
      <c r="D5" s="709" t="str">
        <f>IF(D6&lt;='RFPR cover'!$C$7,"Actuals","Forecast")</f>
        <v>Actuals</v>
      </c>
      <c r="E5" s="710" t="str">
        <f>IF(E6&lt;='RFPR cover'!$C$7,"Actuals","Forecast")</f>
        <v>Actuals</v>
      </c>
      <c r="F5" s="710" t="str">
        <f>IF(F6&lt;='RFPR cover'!$C$7,"Actuals","Forecast")</f>
        <v>Actuals</v>
      </c>
      <c r="G5" s="710" t="str">
        <f>IF(G6&lt;='RFPR cover'!$C$7,"Actuals","Forecast")</f>
        <v>Actuals</v>
      </c>
      <c r="H5" s="710" t="str">
        <f>IF(H6&lt;='RFPR cover'!$C$7,"Actuals","Forecast")</f>
        <v>Actuals</v>
      </c>
      <c r="I5" s="710" t="str">
        <f>IF(I6&lt;='RFPR cover'!$C$7,"Actuals","Forecast")</f>
        <v>Actuals</v>
      </c>
      <c r="J5" s="710" t="str">
        <f>IF(J6&lt;='RFPR cover'!$C$7,"Actuals","Forecast")</f>
        <v>Actuals</v>
      </c>
      <c r="K5" s="711" t="str">
        <f>IF(K6&lt;='RFPR cover'!$C$7,"Actuals","Forecast")</f>
        <v>Forecast</v>
      </c>
      <c r="M5" s="716"/>
      <c r="N5" s="716"/>
      <c r="O5" s="816" t="s">
        <v>81</v>
      </c>
      <c r="P5" s="716"/>
      <c r="Q5" s="716"/>
      <c r="R5" s="716"/>
      <c r="S5" s="716"/>
    </row>
    <row r="6" spans="1:19" s="2" customFormat="1">
      <c r="C6" s="13"/>
      <c r="D6" s="99">
        <f>'RFPR cover'!$C$13</f>
        <v>2016</v>
      </c>
      <c r="E6" s="100">
        <f>D6+1</f>
        <v>2017</v>
      </c>
      <c r="F6" s="100">
        <f t="shared" ref="F6:K6" si="0">E6+1</f>
        <v>2018</v>
      </c>
      <c r="G6" s="100">
        <f t="shared" si="0"/>
        <v>2019</v>
      </c>
      <c r="H6" s="100">
        <f t="shared" si="0"/>
        <v>2020</v>
      </c>
      <c r="I6" s="100">
        <f t="shared" si="0"/>
        <v>2021</v>
      </c>
      <c r="J6" s="100">
        <f t="shared" si="0"/>
        <v>2022</v>
      </c>
      <c r="K6" s="157">
        <f t="shared" si="0"/>
        <v>2023</v>
      </c>
    </row>
    <row r="7" spans="1:19">
      <c r="D7" s="587"/>
      <c r="E7" s="587"/>
      <c r="F7" s="587"/>
      <c r="G7" s="587"/>
      <c r="H7" s="587"/>
      <c r="I7" s="587"/>
      <c r="J7" s="587"/>
      <c r="K7" s="587"/>
    </row>
    <row r="8" spans="1:19">
      <c r="B8" s="12" t="s">
        <v>459</v>
      </c>
      <c r="C8" s="171" t="str">
        <f>'RFPR cover'!$C$14</f>
        <v>£m 12/13</v>
      </c>
      <c r="D8" s="584">
        <f>(D16+D21)/Data!C34</f>
        <v>6.3596562262703679E-3</v>
      </c>
      <c r="E8" s="585">
        <f>(E16+E21)/Data!D34</f>
        <v>2.3259600006792654E-3</v>
      </c>
      <c r="F8" s="585">
        <f>(F16+F21)/Data!E34</f>
        <v>1.0831827079422936E-2</v>
      </c>
      <c r="G8" s="585">
        <f>(G16+G21)/Data!F34</f>
        <v>2.1682403307531031E-2</v>
      </c>
      <c r="H8" s="585">
        <f>(H16+H21)/Data!G34</f>
        <v>3.3579821580329065E-2</v>
      </c>
      <c r="I8" s="585">
        <f>(I16+I21)/Data!H34</f>
        <v>5.5218309450424927E-2</v>
      </c>
      <c r="J8" s="585">
        <f>(J16+J21)/Data!I34</f>
        <v>0.35015664076568737</v>
      </c>
      <c r="K8" s="586">
        <f>(K16+K21)/Data!J34</f>
        <v>0</v>
      </c>
    </row>
    <row r="9" spans="1:19">
      <c r="D9" s="587"/>
      <c r="E9" s="587"/>
      <c r="F9" s="587"/>
      <c r="G9" s="587"/>
      <c r="H9" s="587"/>
      <c r="I9" s="587"/>
      <c r="J9" s="587"/>
      <c r="K9" s="587"/>
    </row>
    <row r="10" spans="1:19">
      <c r="B10" s="13" t="s">
        <v>443</v>
      </c>
      <c r="D10" s="587"/>
      <c r="E10" s="587"/>
      <c r="F10" s="587"/>
      <c r="G10" s="587"/>
      <c r="H10" s="587"/>
      <c r="I10" s="587"/>
      <c r="J10" s="587"/>
      <c r="K10" s="587"/>
    </row>
    <row r="11" spans="1:19">
      <c r="B11" s="713" t="s">
        <v>588</v>
      </c>
      <c r="C11" s="121" t="s">
        <v>125</v>
      </c>
      <c r="D11" s="492">
        <v>0</v>
      </c>
      <c r="E11" s="493">
        <v>0</v>
      </c>
      <c r="F11" s="493">
        <v>0</v>
      </c>
      <c r="G11" s="493">
        <v>0</v>
      </c>
      <c r="H11" s="493">
        <v>0</v>
      </c>
      <c r="I11" s="493">
        <v>0</v>
      </c>
      <c r="J11" s="493">
        <v>0</v>
      </c>
      <c r="K11" s="499">
        <v>0</v>
      </c>
    </row>
    <row r="12" spans="1:19">
      <c r="B12" s="713" t="s">
        <v>588</v>
      </c>
      <c r="C12" s="121" t="s">
        <v>125</v>
      </c>
      <c r="D12" s="494">
        <v>0</v>
      </c>
      <c r="E12" s="495">
        <v>0</v>
      </c>
      <c r="F12" s="495">
        <v>0</v>
      </c>
      <c r="G12" s="495">
        <v>0</v>
      </c>
      <c r="H12" s="495">
        <v>0</v>
      </c>
      <c r="I12" s="495">
        <v>0</v>
      </c>
      <c r="J12" s="495">
        <v>0</v>
      </c>
      <c r="K12" s="500">
        <v>0</v>
      </c>
    </row>
    <row r="13" spans="1:19">
      <c r="B13" s="713" t="s">
        <v>587</v>
      </c>
      <c r="C13" s="121" t="s">
        <v>125</v>
      </c>
      <c r="D13" s="834">
        <v>0</v>
      </c>
      <c r="E13" s="835">
        <v>0</v>
      </c>
      <c r="F13" s="835">
        <v>0</v>
      </c>
      <c r="G13" s="835">
        <v>0</v>
      </c>
      <c r="H13" s="835">
        <v>0</v>
      </c>
      <c r="I13" s="835">
        <v>0</v>
      </c>
      <c r="J13" s="835">
        <v>0</v>
      </c>
      <c r="K13" s="504">
        <v>0</v>
      </c>
    </row>
    <row r="14" spans="1:19">
      <c r="B14" s="13" t="s">
        <v>456</v>
      </c>
      <c r="C14" s="121" t="s">
        <v>125</v>
      </c>
      <c r="D14" s="584">
        <f>SUM(D11:D13)</f>
        <v>0</v>
      </c>
      <c r="E14" s="585">
        <f t="shared" ref="E14:K14" si="1">SUM(E11:E13)</f>
        <v>0</v>
      </c>
      <c r="F14" s="585">
        <f t="shared" si="1"/>
        <v>0</v>
      </c>
      <c r="G14" s="585">
        <f t="shared" si="1"/>
        <v>0</v>
      </c>
      <c r="H14" s="585">
        <f t="shared" si="1"/>
        <v>0</v>
      </c>
      <c r="I14" s="585">
        <f t="shared" si="1"/>
        <v>0</v>
      </c>
      <c r="J14" s="585">
        <f t="shared" si="1"/>
        <v>0</v>
      </c>
      <c r="K14" s="586">
        <f t="shared" si="1"/>
        <v>0</v>
      </c>
    </row>
    <row r="15" spans="1:19">
      <c r="B15" s="2" t="s">
        <v>450</v>
      </c>
      <c r="C15" s="121" t="s">
        <v>125</v>
      </c>
      <c r="D15" s="508">
        <v>0</v>
      </c>
      <c r="E15" s="509">
        <v>0</v>
      </c>
      <c r="F15" s="509">
        <v>0</v>
      </c>
      <c r="G15" s="509">
        <v>0</v>
      </c>
      <c r="H15" s="509">
        <v>0</v>
      </c>
      <c r="I15" s="509">
        <v>0</v>
      </c>
      <c r="J15" s="509">
        <v>0</v>
      </c>
      <c r="K15" s="927">
        <v>0</v>
      </c>
    </row>
    <row r="16" spans="1:19">
      <c r="B16" s="12" t="s">
        <v>457</v>
      </c>
      <c r="C16" s="121" t="s">
        <v>125</v>
      </c>
      <c r="D16" s="584">
        <f>D14-D15</f>
        <v>0</v>
      </c>
      <c r="E16" s="585">
        <f t="shared" ref="E16:K16" si="2">E14-E15</f>
        <v>0</v>
      </c>
      <c r="F16" s="585">
        <f t="shared" si="2"/>
        <v>0</v>
      </c>
      <c r="G16" s="585">
        <f t="shared" si="2"/>
        <v>0</v>
      </c>
      <c r="H16" s="585">
        <f t="shared" si="2"/>
        <v>0</v>
      </c>
      <c r="I16" s="585">
        <f t="shared" si="2"/>
        <v>0</v>
      </c>
      <c r="J16" s="585">
        <f t="shared" si="2"/>
        <v>0</v>
      </c>
      <c r="K16" s="586">
        <f t="shared" si="2"/>
        <v>0</v>
      </c>
    </row>
    <row r="18" spans="2:11">
      <c r="B18" s="13" t="s">
        <v>454</v>
      </c>
      <c r="D18" s="587"/>
      <c r="E18" s="587"/>
      <c r="F18" s="587"/>
      <c r="G18" s="587"/>
      <c r="H18" s="587"/>
      <c r="I18" s="587"/>
      <c r="J18" s="587"/>
      <c r="K18" s="587"/>
    </row>
    <row r="19" spans="2:11">
      <c r="B19" s="817" t="s">
        <v>455</v>
      </c>
      <c r="C19" s="121" t="s">
        <v>125</v>
      </c>
      <c r="D19" s="492">
        <v>8.3250000000000008E-3</v>
      </c>
      <c r="E19" s="493">
        <v>3.1099999999999999E-3</v>
      </c>
      <c r="F19" s="493">
        <v>1.5025000000000002E-2</v>
      </c>
      <c r="G19" s="493">
        <v>3.0995000000000002E-2</v>
      </c>
      <c r="H19" s="493">
        <v>4.9244999999999997E-2</v>
      </c>
      <c r="I19" s="493">
        <v>8.1960000000000005E-2</v>
      </c>
      <c r="J19" s="493">
        <v>0.54975499999999988</v>
      </c>
      <c r="K19" s="499">
        <v>0</v>
      </c>
    </row>
    <row r="20" spans="2:11">
      <c r="B20" s="2" t="s">
        <v>450</v>
      </c>
      <c r="C20" s="121" t="s">
        <v>125</v>
      </c>
      <c r="D20" s="834">
        <v>1.5817500000000003E-3</v>
      </c>
      <c r="E20" s="835">
        <v>5.909E-4</v>
      </c>
      <c r="F20" s="835">
        <v>2.8547500000000005E-3</v>
      </c>
      <c r="G20" s="835">
        <v>5.8890500000000007E-3</v>
      </c>
      <c r="H20" s="835">
        <v>9.3565499999999999E-3</v>
      </c>
      <c r="I20" s="835">
        <v>1.5572400000000002E-2</v>
      </c>
      <c r="J20" s="835">
        <v>0.10445344999999998</v>
      </c>
      <c r="K20" s="504">
        <v>0</v>
      </c>
    </row>
    <row r="21" spans="2:11">
      <c r="B21" s="12" t="s">
        <v>458</v>
      </c>
      <c r="C21" s="121" t="s">
        <v>125</v>
      </c>
      <c r="D21" s="584">
        <f>D19-D20</f>
        <v>6.743250000000001E-3</v>
      </c>
      <c r="E21" s="585">
        <f t="shared" ref="E21:K21" si="3">E19-E20</f>
        <v>2.5190999999999998E-3</v>
      </c>
      <c r="F21" s="585">
        <f t="shared" si="3"/>
        <v>1.2170250000000001E-2</v>
      </c>
      <c r="G21" s="585">
        <f t="shared" si="3"/>
        <v>2.5105950000000002E-2</v>
      </c>
      <c r="H21" s="585">
        <f t="shared" si="3"/>
        <v>3.9888449999999999E-2</v>
      </c>
      <c r="I21" s="585">
        <f t="shared" si="3"/>
        <v>6.6387600000000005E-2</v>
      </c>
      <c r="J21" s="585">
        <f t="shared" si="3"/>
        <v>0.44530154999999993</v>
      </c>
      <c r="K21" s="586">
        <f t="shared" si="3"/>
        <v>0</v>
      </c>
    </row>
  </sheetData>
  <conditionalFormatting sqref="D6:K6">
    <cfRule type="expression" dxfId="2" priority="2">
      <formula>AND(D$4="Actuals",E$4="Forecast")</formula>
    </cfRule>
  </conditionalFormatting>
  <conditionalFormatting sqref="D5:K6">
    <cfRule type="expression" dxfId="1" priority="1">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5BB1054A305E4199FB9992CE5E8990" ma:contentTypeVersion="3" ma:contentTypeDescription="Create a new document." ma:contentTypeScope="" ma:versionID="c0f7a11b25610f3770985f9c8c3036de">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BAD9730B-FB10-42F4-BB8C-B579F7E55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3ea75854-279e-4633-9f58-d37b9e968ebf"/>
    <ds:schemaRef ds:uri="http://purl.org/dc/dcmitype/"/>
    <ds:schemaRef ds:uri="http://purl.org/dc/elements/1.1/"/>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Holland, David</cp:lastModifiedBy>
  <cp:lastPrinted>2018-10-02T10:25:02Z</cp:lastPrinted>
  <dcterms:created xsi:type="dcterms:W3CDTF">2018-06-13T08:32:09Z</dcterms:created>
  <dcterms:modified xsi:type="dcterms:W3CDTF">2022-07-28T11:28:29Z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0x010100045BB1054A305E4199FB9992CE5E8990</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MSIP_Label_019c027e-33b7-45fc-a572-8ffa5d09ec36_Enabled">
    <vt:lpwstr>true</vt:lpwstr>
  </property>
  <property fmtid="{D5CDD505-2E9C-101B-9397-08002B2CF9AE}" pid="17" name="MSIP_Label_019c027e-33b7-45fc-a572-8ffa5d09ec36_SetDate">
    <vt:lpwstr>2022-07-28T11:28:09Z</vt:lpwstr>
  </property>
  <property fmtid="{D5CDD505-2E9C-101B-9397-08002B2CF9AE}" pid="18" name="MSIP_Label_019c027e-33b7-45fc-a572-8ffa5d09ec36_Method">
    <vt:lpwstr>Standard</vt:lpwstr>
  </property>
  <property fmtid="{D5CDD505-2E9C-101B-9397-08002B2CF9AE}" pid="19" name="MSIP_Label_019c027e-33b7-45fc-a572-8ffa5d09ec36_Name">
    <vt:lpwstr>Internal Use</vt:lpwstr>
  </property>
  <property fmtid="{D5CDD505-2E9C-101B-9397-08002B2CF9AE}" pid="20" name="MSIP_Label_019c027e-33b7-45fc-a572-8ffa5d09ec36_SiteId">
    <vt:lpwstr>031a09bc-a2bf-44df-888e-4e09355b7a24</vt:lpwstr>
  </property>
  <property fmtid="{D5CDD505-2E9C-101B-9397-08002B2CF9AE}" pid="21" name="MSIP_Label_019c027e-33b7-45fc-a572-8ffa5d09ec36_ActionId">
    <vt:lpwstr>fd35ea7d-fe42-4cb1-8fbd-5ccc3039f18f</vt:lpwstr>
  </property>
  <property fmtid="{D5CDD505-2E9C-101B-9397-08002B2CF9AE}" pid="22" name="MSIP_Label_019c027e-33b7-45fc-a572-8ffa5d09ec36_ContentBits">
    <vt:lpwstr>2</vt:lpwstr>
  </property>
</Properties>
</file>